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5300" windowHeight="4395" tabRatio="808" activeTab="0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  <sheet name="GAS ASCII" sheetId="7" r:id="rId7"/>
  </sheets>
  <definedNames>
    <definedName name="_Key1" hidden="1">'Marketable'!#REF!</definedName>
    <definedName name="_Order1" localSheetId="3" hidden="1">255</definedName>
    <definedName name="_Order1" localSheetId="6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hidden="1">'Marketable'!#REF!</definedName>
    <definedName name="ACwvu.page10." hidden="1">'TableIV'!$1:$7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GASASCII">'GAS ASCII'!$B:$E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3">'GAS'!$A$1:$M$221</definedName>
    <definedName name="_xlnm.Print_Area" localSheetId="6">'GAS ASCII'!$A$1:$E$179</definedName>
    <definedName name="_xlnm.Print_Area" localSheetId="1">'Marketable'!$A$1:$Q$227</definedName>
    <definedName name="_xlnm.Print_Area" localSheetId="2">'Nonmarketable'!$A$1:$P$49</definedName>
    <definedName name="_xlnm.Print_Area" localSheetId="4">'TableIV'!$A$1:$J$174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'TableIV'!$1:$7</definedName>
    <definedName name="TOTALROW1">#REF!</definedName>
    <definedName name="TOTALROW3">#REF!</definedName>
    <definedName name="TOTALS_GDEBT">'TableIV'!$K$4:$K$7</definedName>
    <definedName name="TOTALS_MSPD2">'GAS'!$H$57:$I$221</definedName>
    <definedName name="TOTALS_MSPD2A">'GAS'!$I$206:$L$221</definedName>
    <definedName name="TOTALS_PAGE2">'Marketable'!$L$5:$Q$154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3" hidden="1">'GAS'!$A$1:$M$221</definedName>
    <definedName name="Z_299E6BA2_5C55_11D3_95FC_00C04F98DD55_.wvu.PrintArea" localSheetId="6" hidden="1">'Footnotes'!$A$1:$M$54</definedName>
    <definedName name="Z_299E6BA2_5C55_11D3_95FC_00C04F98DD55_.wvu.PrintArea" localSheetId="1" hidden="1">'Marketable'!$A$1:$Q$227</definedName>
    <definedName name="Z_299E6BA2_5C55_11D3_95FC_00C04F98DD55_.wvu.PrintArea" localSheetId="4" hidden="1">'TableIV'!$A$1:$J$174</definedName>
    <definedName name="Z_299E6BA2_5C55_11D3_95FC_00C04F98DD55_.wvu.Rows" localSheetId="3" hidden="1">'GAS'!#REF!</definedName>
    <definedName name="Z_299E6BA2_5C55_11D3_95FC_00C04F98DD55_.wvu.Rows" localSheetId="1" hidden="1">'Marketable'!#REF!</definedName>
    <definedName name="Z_F8F97401_998A_11D2_AE2A_00C04F98DCD3_.wvu.PrintArea" hidden="1">'TableIV'!$A$1:$J$174</definedName>
    <definedName name="Z_FDA6B625_998F_11D2_AE2A_00C04F98DCD3_.wvu.PrintArea" hidden="1">'TableIV'!$A$1:$J$174</definedName>
  </definedNames>
  <calcPr fullCalcOnLoad="1"/>
</workbook>
</file>

<file path=xl/sharedStrings.xml><?xml version="1.0" encoding="utf-8"?>
<sst xmlns="http://schemas.openxmlformats.org/spreadsheetml/2006/main" count="1998" uniqueCount="1163">
  <si>
    <r>
      <t xml:space="preserve">Statutory Debt Limit  </t>
    </r>
    <r>
      <rPr>
        <vertAlign val="superscript"/>
        <sz val="14"/>
        <rFont val="Arial"/>
        <family val="2"/>
      </rPr>
      <t>5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.......................................................................................................................................................................…....................................................................................................</t>
    </r>
  </si>
  <si>
    <t>6  d</t>
  </si>
  <si>
    <t>PATIENTS BENEFIT FUND, NATIONAL INSTITUTES OF HEALTH</t>
  </si>
  <si>
    <t>75X8888</t>
  </si>
  <si>
    <t>Corpus</t>
  </si>
  <si>
    <t>STRIP</t>
  </si>
  <si>
    <t>Maturity Date</t>
  </si>
  <si>
    <t>912828  DQ0</t>
  </si>
  <si>
    <t>912820  LM7</t>
  </si>
  <si>
    <t>912795  VT5</t>
  </si>
  <si>
    <t>912795  VS7</t>
  </si>
  <si>
    <t>912795  VR9</t>
  </si>
  <si>
    <t>912795  VQ1</t>
  </si>
  <si>
    <t>912757  VP3</t>
  </si>
  <si>
    <t>912828  DP2</t>
  </si>
  <si>
    <t>912820  LL9</t>
  </si>
  <si>
    <t>Thrift Savings Fund, Federal Retirement Thrift Investment Board….……....….......…………</t>
  </si>
  <si>
    <t>SAVING ASSOCIATION INSURANCE FUND, THE</t>
  </si>
  <si>
    <t>51X4066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</si>
  <si>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</si>
  <si>
    <t>INTERNATIONAL CENTER FOR MIDDLE EASTERN-WESTERN DIALOGUE TRUST FUND</t>
  </si>
  <si>
    <t>19X8813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</si>
  <si>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</si>
  <si>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</si>
  <si>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</si>
  <si>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</si>
  <si>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>Eisenhower Exchange Fellowship Program Trust Fund........................................................................................</t>
  </si>
  <si>
    <t>Tribal Special Fund, Office of the Special Trustee for American Indians.......................................................................</t>
  </si>
  <si>
    <t>Community Development Credit Union Revolving Fund</t>
  </si>
  <si>
    <t>Gifts and Bequests, Office of the Secretary, Department of Transportation........................................…</t>
  </si>
  <si>
    <t>Debt Subject to Limit:</t>
  </si>
  <si>
    <t>Court of Veterans Appeals Retirement Fund.............................................................................................................................................</t>
  </si>
  <si>
    <t>Reserve Mobilization Income Insurance Fund, Defense...........................................................................................................................................................................................................................................................……….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</si>
  <si>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Oliver Wendell Holmes Devise Fund, Library of Congress.........................................................................................</t>
  </si>
  <si>
    <t xml:space="preserve"> Income derived from these securities is subject to all taxes now or hereafter imposed under the Internal Revenue Code of 1986, as amended.</t>
  </si>
  <si>
    <t>e</t>
  </si>
  <si>
    <t>USAO/CDR-E Account, U.S. Attorneys, Justice…………………………………………………………………………….</t>
  </si>
  <si>
    <t>912820  LT2</t>
  </si>
  <si>
    <t>Amounts issued, retired, and outstanding for Series E, EE, and I Savings Bonds and Savings Notes are stated at cost plus accrued discount.  Amounts issued,</t>
  </si>
  <si>
    <t>retired, and outstanding for Series H and HH Bonds are stated at face value.</t>
  </si>
  <si>
    <t>Esther Cattell Schmitt Gift Fund, Treasury.......................................................................................................................................</t>
  </si>
  <si>
    <t>irretrievably lost.</t>
  </si>
  <si>
    <t>Bequests of Major General Fred C. Ainsworth, Library, Walter Reed</t>
  </si>
  <si>
    <t>Cheyenne River Sioux Tribe Terrestrial Wildlife Habitat Restoration</t>
  </si>
  <si>
    <t>Lower Brule Sioux Tribe Terrestrial Wildlife Habitat Restoration Trust Fund.........................................................................................</t>
  </si>
  <si>
    <t>pursuant to Act of June 30, 1961, 31 U.S.C. 5119 to have been destroyed or irretrievably lost.</t>
  </si>
  <si>
    <t>69X6012</t>
  </si>
  <si>
    <t>GIFTS, CENTRAL INTELLIGENCE AGENCY</t>
  </si>
  <si>
    <t>56X6146</t>
  </si>
  <si>
    <t>The minimum holding period has been extended from 6 to 12 months, effective with issues dated on and after February 1, 2003.  Series EE and I Savings Bonds</t>
  </si>
  <si>
    <t>PUBLIC HEALTH SERVICE CONDITIONAL GIFT FUND, HEALTH RESOURCES AND SERVICES ADMINISTRATION</t>
  </si>
  <si>
    <t>75X8254</t>
  </si>
  <si>
    <t>RAILROAD RETIREMENT ACCOUNT</t>
  </si>
  <si>
    <t>60X8011</t>
  </si>
  <si>
    <t xml:space="preserve">Funds Held by the 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</si>
  <si>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DISGORGEMENT PENALTY AMOUNTS HELD FOR INVESTMENT</t>
  </si>
  <si>
    <t xml:space="preserve">Funds held by the Government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</si>
  <si>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BOTANIC GARDENS, GIFTS AND DONATIONS</t>
  </si>
  <si>
    <t>09X8292</t>
  </si>
  <si>
    <t>HOST NATION SUPPORT FOR U. S. RELOCATION ACTIVITIES ACCOUNT</t>
  </si>
  <si>
    <t>97X8337</t>
  </si>
  <si>
    <t>NATIONAL LAW ENFORCEMENT OFFICERS MEMORIAL MAINTENANCE FUND</t>
  </si>
  <si>
    <t>14X4195</t>
  </si>
  <si>
    <t>audit and subsequent adjustments.</t>
  </si>
  <si>
    <t>Totals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</si>
  <si>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</si>
  <si>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</si>
  <si>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</si>
  <si>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</si>
  <si>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</si>
  <si>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</si>
  <si>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 xml:space="preserve">  Government Account Series - Held By the Public:</t>
  </si>
  <si>
    <t>National Institutes of Health Unconditional Gift Fund...............................................................................................…</t>
  </si>
  <si>
    <t>Guarantees of Mortgage-Backed Securities Fund, Government National</t>
  </si>
  <si>
    <t>Energy Employees Occupational Illness Compensation Fund.................................................................................................................................................................…</t>
  </si>
  <si>
    <t>ENVIRONMENTAL IMPROVEMENT AND RESTORATION FUND</t>
  </si>
  <si>
    <t>14X5425</t>
  </si>
  <si>
    <t>JULY 31, 2005</t>
  </si>
  <si>
    <t>TABLE I -- SUMMARY OF TREASURY SECURITIES OUTSTANDING, JULY 31, 2005</t>
  </si>
  <si>
    <t>TABLE II -- STATUTORY DEBT LIMIT, JULY 31, 2005</t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</si>
  <si>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JULY 31, 2005</t>
    </r>
  </si>
  <si>
    <t>TABLE IV - HISTORICAL DATA, JULY 31, 2005</t>
  </si>
  <si>
    <t>TABLE V - HOLDINGS OF TREASURY SECURITIES IN STRIPPED FORM, JULY 31, 2005</t>
  </si>
  <si>
    <t>MONTHLY STATEMENT OF THE PUBLIC DEBT OF THE UNITED STATES JULY 31, 2005 - FOOTNOTES</t>
  </si>
  <si>
    <r>
      <t xml:space="preserve">Matured Government Account Series - Held By the Public </t>
    </r>
    <r>
      <rPr>
        <vertAlign val="superscript"/>
        <sz val="12"/>
        <rFont val="Arial"/>
        <family val="2"/>
      </rPr>
      <t>19</t>
    </r>
    <r>
      <rPr>
        <sz val="12"/>
        <rFont val="Arial"/>
        <family val="2"/>
      </rPr>
      <t>………………………………….</t>
    </r>
  </si>
  <si>
    <t>Total Government Account Series - Held By the Public………………………………………..</t>
  </si>
  <si>
    <r>
      <t xml:space="preserve">Matured Government Account Series - Intragovernmental Holdings </t>
    </r>
    <r>
      <rPr>
        <vertAlign val="superscript"/>
        <sz val="12"/>
        <rFont val="Arial"/>
        <family val="2"/>
      </rPr>
      <t>19</t>
    </r>
    <r>
      <rPr>
        <sz val="12"/>
        <rFont val="Arial"/>
        <family val="2"/>
      </rPr>
      <t>……………………….</t>
    </r>
  </si>
  <si>
    <t>Total Government Account Series - Intragovernmental Holdings.....................................................…</t>
  </si>
  <si>
    <t>Settlement day will be Monday, August 1, 2005.</t>
  </si>
  <si>
    <t>July 31, 2005</t>
  </si>
  <si>
    <t>912795  WH0</t>
  </si>
  <si>
    <t>912795  WJ6</t>
  </si>
  <si>
    <t>912795  WK3</t>
  </si>
  <si>
    <t>912795  WL1</t>
  </si>
  <si>
    <t>912828  DZ0</t>
  </si>
  <si>
    <t>912820  LW5</t>
  </si>
  <si>
    <t>912828  EA4</t>
  </si>
  <si>
    <t>912820  LX3</t>
  </si>
  <si>
    <t>June 2005</t>
  </si>
  <si>
    <t>INSPECTION AND GRADING OF FISHERY PRODUCTS, DEPARTMENT OF COMMERCE</t>
  </si>
  <si>
    <t>13X6541</t>
  </si>
  <si>
    <t>USAO/ARTEMIS SETTLEMENT ACCOUNT, U.S. ATTORNEYS, JUSTICE</t>
  </si>
  <si>
    <t>15X6118</t>
  </si>
  <si>
    <t>74X85692</t>
  </si>
  <si>
    <t>FISHERMEN'S CONTINGENCY FUND, NATIONAL OCEANIC AND ATMOSPHERIC ADMINISTRATION</t>
  </si>
  <si>
    <t>13X5120</t>
  </si>
  <si>
    <t>FOREIGN FISHING OBSERVER FUND, NATIONAL OCEANIC AND ATMOSPHERIC ADMINISTRATION</t>
  </si>
  <si>
    <t>13X5122</t>
  </si>
  <si>
    <t>Inspection and Grading of Fishery Products, Department of Commerce……………………</t>
  </si>
  <si>
    <t>USAO/Artemis Settlement Account, U.S. Attorneys, Justice……………………………….</t>
  </si>
  <si>
    <t>Fishermen's Contingency Fund, National Oceanic and Atmospheric Administration….</t>
  </si>
  <si>
    <t>Foreign Fishing Observer Fund, National Oceanic and Atmospheric Administration….</t>
  </si>
  <si>
    <t>Total Marketable...........................................................................................................................................…</t>
  </si>
  <si>
    <t>Revolving Fund for Administrative Expense, Farm Credit Administration................................................................................................................................................................................…</t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</si>
  <si>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</si>
  <si>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2U5</t>
  </si>
  <si>
    <t>MARITIME GUARANTEED LOAN ESCROW FUND</t>
  </si>
  <si>
    <t>69X6040</t>
  </si>
  <si>
    <t>United States Naval Academy General Gift Fund......................................................................................................</t>
  </si>
  <si>
    <t>Israeli Arab Scholarship Program, United States Information Agency.............................................................….</t>
  </si>
  <si>
    <t xml:space="preserve">     Office of Personnel Management.................................................................................................................................................................…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</si>
  <si>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</si>
  <si>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912828  BP4</t>
  </si>
  <si>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</si>
  <si>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Treasury Deposit Funds.................................................................................................................................................................…</t>
  </si>
  <si>
    <t>10/31-04/30</t>
  </si>
  <si>
    <t>09/30-03/31</t>
  </si>
  <si>
    <t>EXCHANGE STABILIZATION FUND, OFFICE OF THE SECRETARY, TREASURY</t>
  </si>
  <si>
    <t>20X44441</t>
  </si>
  <si>
    <t>EXPENSES, PRESIDIO TRUST</t>
  </si>
  <si>
    <t>Morris K. Udall Scholarship and Excellence in National Environmental</t>
  </si>
  <si>
    <t>Natural Resource Damage Assessment and Restoration Fund, U.S. Fish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</si>
  <si>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</si>
  <si>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</si>
  <si>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Science, Space and Technology Education Trust Fund, National Aeronautics</t>
  </si>
  <si>
    <t>FEDERAL OLD-AGE AND SURVIVORS INSURANCE TRUST FUND</t>
  </si>
  <si>
    <t>20X8006</t>
  </si>
  <si>
    <t>FEDERAL SUPPLEMENTARY MEDICAL INSURANCE TRUST FUND</t>
  </si>
  <si>
    <t>20X8004</t>
  </si>
  <si>
    <t>FOREIGN SERVICE RETIREMENT AND DISABILITY FUND</t>
  </si>
  <si>
    <t>19X8186</t>
  </si>
  <si>
    <t>FSLIC RESOLUTION FUND, THE</t>
  </si>
  <si>
    <t>51X4065</t>
  </si>
  <si>
    <t>912800  AA7</t>
  </si>
  <si>
    <t>912803  AA1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</si>
  <si>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</si>
  <si>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Department of Energy.................................................................................................................................................................…</t>
  </si>
  <si>
    <t>Smithsonian Endowment Fund, Smithsonian Institution...............................................................................…</t>
  </si>
  <si>
    <t>03/31-09/30</t>
  </si>
  <si>
    <t>F</t>
  </si>
  <si>
    <t>04/15-10/15</t>
  </si>
  <si>
    <t>M</t>
  </si>
  <si>
    <t>04/30-10/31</t>
  </si>
  <si>
    <t>B</t>
  </si>
  <si>
    <t>05/15-11/15</t>
  </si>
  <si>
    <t>N</t>
  </si>
  <si>
    <t>05/31-11/30</t>
  </si>
  <si>
    <t>P</t>
  </si>
  <si>
    <t>G</t>
  </si>
  <si>
    <t>Q</t>
  </si>
  <si>
    <t>C</t>
  </si>
  <si>
    <t>R</t>
  </si>
  <si>
    <t>S</t>
  </si>
  <si>
    <t>H</t>
  </si>
  <si>
    <t>T</t>
  </si>
  <si>
    <t>D</t>
  </si>
  <si>
    <t>10</t>
  </si>
  <si>
    <t>W</t>
  </si>
  <si>
    <t>20X6314</t>
  </si>
  <si>
    <t>GIFTS AND BEQUESTS, OFFICE OF THE SECRETARY, DEPARTMENT OF TRANSPORTATION</t>
  </si>
  <si>
    <t>69X8548</t>
  </si>
  <si>
    <t>Tax Court Judges Survivors Annuity Fund.............................................................................................................................</t>
  </si>
  <si>
    <t>912828  CH1</t>
  </si>
  <si>
    <t>912827  5N8</t>
  </si>
  <si>
    <t>CDR-E ACCOUNT, U.S. ATTORNEYS, JUSTICE</t>
  </si>
  <si>
    <t>15X6119</t>
  </si>
  <si>
    <t>EXPENSES AND REFUNDS, INSPECTION AND GRADING OF FARM PRODUCTS, AGRICULTURAL MARKETING SERVICE</t>
  </si>
  <si>
    <t>12X8015</t>
  </si>
  <si>
    <t>MARKETING SERVICES, AGRICULTURAL MARKETING SERVICE</t>
  </si>
  <si>
    <t>12X2500</t>
  </si>
  <si>
    <t>PERISHABLE AGRICULTURAL COMMODITIES ACT, AGRICULTURAL MARKETING SERVICE</t>
  </si>
  <si>
    <t>12X5070</t>
  </si>
  <si>
    <t>Expenses and Refunds, Inspection and Grading of Farm Products,</t>
  </si>
  <si>
    <t xml:space="preserve">    Agricultural Marketing Service…………………………………………………………………………………</t>
  </si>
  <si>
    <t>Marketing Services, Agricultural Marketing Service…………………………………………………..</t>
  </si>
  <si>
    <t>Perishable Agricultural Commodities Act, Agricultural Marketing Service………………………….</t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</si>
  <si>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</si>
  <si>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Land Between the Lakes Trust Fund..................................................................................................................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</si>
  <si>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</si>
  <si>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W81</t>
  </si>
  <si>
    <t>912828  BS8</t>
  </si>
  <si>
    <t>06/15-12/15</t>
  </si>
  <si>
    <t>Assessment Funds, Office of the Comptroller of the Currency...........................................................………….......................</t>
  </si>
  <si>
    <t>OLIVER WENDELL HOMES DEVISE FUND, LIBRARY OF CONGRESS</t>
  </si>
  <si>
    <t>03X5075</t>
  </si>
  <si>
    <t>of the discount accruing in the taxable year.</t>
  </si>
  <si>
    <t>Federal Ship Financing Escrow Fund, Maritime Administration...............................................................................…</t>
  </si>
  <si>
    <t>Leaking Underground Storage Tank Trust Fund..................................................................................................................</t>
  </si>
  <si>
    <t>912820  JQ1</t>
  </si>
  <si>
    <t>912820  JS7</t>
  </si>
  <si>
    <t>District of Columbia Federal Pension Trust Fund.............................................................................................................................................</t>
  </si>
  <si>
    <t>PUBLIC ENTERPRISE REVOLVING FUND, OFFICE OF THRIFT SUPERVISION, TREASURY</t>
  </si>
  <si>
    <t>Public Enterprise Revolving Fund, Office of Thrift Supervision, Treasury……………………..</t>
  </si>
  <si>
    <t>Reregistration and Expedited Processing Fund, Environmental Protection Agency….</t>
  </si>
  <si>
    <t>912820  KK2</t>
  </si>
  <si>
    <t>15X6874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</si>
  <si>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</si>
  <si>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t>03/15-09/15</t>
  </si>
  <si>
    <t>James Madison Memorial Fellowship Foundation Fund.....................................................................................................</t>
  </si>
  <si>
    <t xml:space="preserve">Japan-United States Friendship Trust Fund, Japan-United States </t>
  </si>
  <si>
    <t>Redeemable at any time effective with the 1984 Tax Reform Act.  The redemption proceeds should be reported as income unless reinvested into an individual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</si>
  <si>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</si>
  <si>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</si>
  <si>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912795  WC1</t>
  </si>
  <si>
    <t>912795  WD9</t>
  </si>
  <si>
    <t>912795  WE7</t>
  </si>
  <si>
    <t>912828  DX5</t>
  </si>
  <si>
    <t>912795  WF4</t>
  </si>
  <si>
    <t>912795  WG2</t>
  </si>
  <si>
    <t>912828  DY3</t>
  </si>
  <si>
    <t>912820  LV7</t>
  </si>
  <si>
    <t>912820  LU9</t>
  </si>
  <si>
    <t>Library of Congress Trust Fund.......................................................................................................................................</t>
  </si>
  <si>
    <t>Unclassified amounts for Series E, EE and I were combined with Series E, Series EE and Series I beginning July 31, 2005.</t>
  </si>
  <si>
    <t>Power Systems, Indian Irrigation Projects, Bureau of Indian Affairs...........................................................................................................................................…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</si>
  <si>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</si>
  <si>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912828  AC4</t>
  </si>
  <si>
    <t>912827  3E0</t>
  </si>
  <si>
    <t>07/15-01/15</t>
  </si>
  <si>
    <t>912828  AY6</t>
  </si>
  <si>
    <t>912827  Y55</t>
  </si>
  <si>
    <t>912828  AZ3</t>
  </si>
  <si>
    <t>912827  4V1</t>
  </si>
  <si>
    <t>Treasury Demand Deposit..................</t>
  </si>
  <si>
    <t>Daily</t>
  </si>
  <si>
    <t>Federal Supplementary Medical Insurance Trust Fund............................................................................................................................................................…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</si>
  <si>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</si>
  <si>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</si>
  <si>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</si>
  <si>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Zero-coupon Treasury Bond....................................</t>
  </si>
  <si>
    <t>Overseas Private Investment Corporation, Insurance and Equity Non Credit</t>
  </si>
  <si>
    <t>National Security Education Trust Fund..................................................................................................................…</t>
  </si>
  <si>
    <t>PAYMENTS OF ALLEGED VIOLATORS OF DEPARTMENT OF ENERGY REGULATIONS, DEPARTMENT OF ENERGY</t>
  </si>
  <si>
    <t>89X6425</t>
  </si>
  <si>
    <t>SEIZED ASSETS FUND, JUSTICE</t>
  </si>
  <si>
    <t xml:space="preserve">   Housing and Urban Development............................................................................................................................................................…</t>
  </si>
  <si>
    <t>Foreign Service Retirement and Disability Fund....................................................................................................................………</t>
  </si>
  <si>
    <t>12/15-06/15</t>
  </si>
  <si>
    <t>SEIZED CURRENCY, UNITED STATES CUSTOMS SERVICE</t>
  </si>
  <si>
    <t>20X6511</t>
  </si>
  <si>
    <t>00X5509</t>
  </si>
  <si>
    <t>SERVICEMEN'S GROUP LIFE INSURANCE FUND</t>
  </si>
  <si>
    <t>36X4009</t>
  </si>
  <si>
    <t>SOCIAL SECURITY EQUIVALENT BENEFIT ACCOUNT, RAILROAD RETIREMENT BOARD</t>
  </si>
  <si>
    <t>60X8010</t>
  </si>
  <si>
    <t>SOUTH DAKOTA TERRESTRIAL WILDLIFE HABITAT RESTORATION TRUST FUND</t>
  </si>
  <si>
    <t>96X8217</t>
  </si>
  <si>
    <t>Payments of Alleged Violators of Department of Energy Regulations,</t>
  </si>
  <si>
    <t>OF THE UNITED STATES</t>
  </si>
  <si>
    <t xml:space="preserve"> </t>
  </si>
  <si>
    <t>(Details may not add to totals)</t>
  </si>
  <si>
    <t>Title</t>
  </si>
  <si>
    <t>Outstanding</t>
  </si>
  <si>
    <t>Marketable:</t>
  </si>
  <si>
    <t>Hazardous Substance Superfund............................................................................................................................................</t>
  </si>
  <si>
    <t>Nonmarketable:</t>
  </si>
  <si>
    <t>Fiscal Year 2004</t>
  </si>
  <si>
    <t>Federal Financing Bank...............................................................................…</t>
  </si>
  <si>
    <t>Various</t>
  </si>
  <si>
    <r>
      <t xml:space="preserve">Unamortized Discount  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</si>
  <si>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Guaranteed Debt of Government Agencies  </t>
    </r>
    <r>
      <rPr>
        <vertAlign val="superscript"/>
        <sz val="14"/>
        <rFont val="Arial"/>
        <family val="2"/>
      </rPr>
      <t>4</t>
    </r>
  </si>
  <si>
    <t>CAPITOL PRESERVATION FUND, U. S. CAPITOL PRESERVATION COMMISSION</t>
  </si>
  <si>
    <t>09X8300</t>
  </si>
  <si>
    <t>Seized Currency, United States Customs Service.........................................................................................................................</t>
  </si>
  <si>
    <t>Farm Credit Insurance Fund, Capital Corporation Investment Fund, Farm</t>
  </si>
  <si>
    <t>Individual Indian Money, Bureau of Indian Affairs.....................................................................................................................................…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</si>
  <si>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</si>
  <si>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</si>
  <si>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</si>
  <si>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National Credit Union Share Insurance Fund..................................................................................................................................................…</t>
  </si>
  <si>
    <t>(Retired) / Inflation Adj.</t>
  </si>
  <si>
    <t>a</t>
  </si>
  <si>
    <t>Treasury Bills (Maturity Value):</t>
  </si>
  <si>
    <t>CUSIP:</t>
  </si>
  <si>
    <t>Yield:</t>
  </si>
  <si>
    <t>Intragovernmental Holdings.....................................................................................................................…</t>
  </si>
  <si>
    <t>Total Public Debt Outstanding.....................................................................................................................…</t>
  </si>
  <si>
    <t>Government Account Series - Held By the Public..........................................................................................................…</t>
  </si>
  <si>
    <t>Total United States Savings Securities...............................................................................…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</si>
  <si>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</si>
  <si>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>On demand</t>
  </si>
  <si>
    <t>At redemption</t>
  </si>
  <si>
    <t xml:space="preserve"> Series EE...........................................................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</si>
  <si>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</si>
  <si>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</si>
  <si>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Total Nonmarketable.......................................................................................................................................................................................................</t>
  </si>
  <si>
    <t>Amount in Millions of Dollars</t>
  </si>
  <si>
    <t>Loan Description</t>
  </si>
  <si>
    <t>Date</t>
  </si>
  <si>
    <t>Callable</t>
  </si>
  <si>
    <t>Payable</t>
  </si>
  <si>
    <t>Issued</t>
  </si>
  <si>
    <t>FARM CREDIT INSURANCE FUND, CAPITAL CORPORATION INVESTMENT FUND, FARM CREDIT ADMINISTRATION</t>
  </si>
  <si>
    <t>78X4136</t>
  </si>
  <si>
    <t>FEDERAL AID TO WILDLIFE RESTORATION, UNITED STATES FISH AND WILDLIFE SERVICE</t>
  </si>
  <si>
    <t>14X5029</t>
  </si>
  <si>
    <t>FEDERAL DISABILITY INSURANCE TRUST FUND</t>
  </si>
  <si>
    <t>20X8007</t>
  </si>
  <si>
    <t>FEDERAL HOSPITAL INSURANCE TRUST FUND</t>
  </si>
  <si>
    <t>20X8005</t>
  </si>
  <si>
    <t>FEDERAL HOUSING ADMINISTRATION - GENERAL AND SPECIAL RISK INSURANCE FUND, LUQUIDATING ACCOUNT, HOUSING AND</t>
  </si>
  <si>
    <t>86X4072</t>
  </si>
  <si>
    <t>86X02362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</si>
  <si>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</si>
  <si>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ESTHER CATTELL SCHMITT GIFT FUND, TREASURY</t>
  </si>
  <si>
    <t>20X8902</t>
  </si>
  <si>
    <t>Less than $500 thousand.</t>
  </si>
  <si>
    <t>Subject to the Statutory Debt Limit:</t>
  </si>
  <si>
    <t>total</t>
  </si>
  <si>
    <t>Nuclear Waste Disposal Fund, Department of Energy..............................................................................................................................</t>
  </si>
  <si>
    <t>Patients Benefit Fund, National Institutes of Health......................................................................................................</t>
  </si>
  <si>
    <t xml:space="preserve">   Bureau of Indian Affairs......................................................................................................................................................................…</t>
  </si>
  <si>
    <t>Tribal Trust Fund, Office of the Special Trustee for American Indians.......................................................................</t>
  </si>
  <si>
    <t>Balance of Statutory Debt Limit.......................................................................................................................................................................…</t>
  </si>
  <si>
    <t>United States Trustee System Fund, Justice..........................................................................................................................</t>
  </si>
  <si>
    <t>Public Health Service Conditional Gift Fund, Health Resources and Services</t>
  </si>
  <si>
    <t>Relief and Rehabilitation, Longshoremen's and Harbor Workers' Compensation</t>
  </si>
  <si>
    <t>Relief and Rehabilitation, Workmen's Compensation Act, within the District of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</si>
  <si>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</si>
  <si>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Public Debt Outstanding..................................................................................…</t>
  </si>
  <si>
    <t>OPERATION AND MAINTENANCE, INDIAN IRRIGATION SYSTEMS, BUREAU OF INDIAN AFFAIRS</t>
  </si>
  <si>
    <t>14X5240</t>
  </si>
  <si>
    <t>OVERSEAS PRIVATE INVESTMENT CORPORATION, INSURANCE AND EQUITY NON CREDIT ACCOUNT</t>
  </si>
  <si>
    <t>71X4184</t>
  </si>
  <si>
    <t>PANAMA CANAL COMMISSION COMPENSATION FUND</t>
  </si>
  <si>
    <t>16X5155</t>
  </si>
  <si>
    <t>PAYMENTS TO COPYRIGHT OWNERS, COPYRIGHT OFFICE, LIBRARY OF CONGRESS</t>
  </si>
  <si>
    <t>03X5175</t>
  </si>
  <si>
    <t>PENSION BENEFIT GUARANTY CORPORATION</t>
  </si>
  <si>
    <t>16X4204</t>
  </si>
  <si>
    <t>POSTAL SERVICE FUND</t>
  </si>
  <si>
    <t>18X4020</t>
  </si>
  <si>
    <t>POWER SYSTEMS, INDIAN IRRIGATION PROJECTS, BUREAU OF INDIAN AFFAIRS</t>
  </si>
  <si>
    <t>14X5648</t>
  </si>
  <si>
    <t>Department of Defense, Education Benefits Fund.....................................................................................................</t>
  </si>
  <si>
    <t>SCIENCE, SPACE AND TECHNOLOGY EDUCATION TRUST FUND, NATIONAL AERONAUTICS AND SPACE ADMINISTRATION</t>
  </si>
  <si>
    <t>80X8978</t>
  </si>
  <si>
    <t>Sept. 30, 2004</t>
  </si>
  <si>
    <t>These securities are not eligible for stripping and reconstitution, see Table V, "Holdings of Treasury Securities in Stripped Form".</t>
  </si>
  <si>
    <t xml:space="preserve">  c   f</t>
  </si>
  <si>
    <t xml:space="preserve"> Various</t>
  </si>
  <si>
    <t>Domestic Series: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</si>
  <si>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</si>
  <si>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Harbor Maintenance Trust Fund............................................................................................................................................</t>
  </si>
  <si>
    <t>Unearned Copyright Fees, Library Of Congress.................................................................................................................................................................…</t>
  </si>
  <si>
    <t>Postal Service Fund......................................................................................................................................................................................................................…</t>
  </si>
  <si>
    <t>CUSIP</t>
  </si>
  <si>
    <t>Total</t>
  </si>
  <si>
    <t>Portion Held in</t>
  </si>
  <si>
    <t>912828  DL1</t>
  </si>
  <si>
    <t>912827  6J6</t>
  </si>
  <si>
    <t>Judicial Survivors Annuities Fund................................................................................................................................</t>
  </si>
  <si>
    <t>Kennedy Center Revenue Bond Sinking Fund............................................................................................................</t>
  </si>
  <si>
    <t>912828  AT7</t>
  </si>
  <si>
    <t>Unstripped Form</t>
  </si>
  <si>
    <t>Stripped Form</t>
  </si>
  <si>
    <t>Treasury Bonds:</t>
  </si>
  <si>
    <t>Claims Court Judges Retirement Fund.........................................................................................................................</t>
  </si>
  <si>
    <t>Bequests and Gifts, Disaster Relief, Funds Appropriated to the President......................................................................................................................................…</t>
  </si>
  <si>
    <t>securities through custodians other than Treasury for which data is not available.</t>
  </si>
  <si>
    <t>SOUTHERN NEVADA PUBLIC LAND MANAGEMENT ACT OF 1998</t>
  </si>
  <si>
    <t>14X5232</t>
  </si>
  <si>
    <t>The data reported represents a one or two month lag behind the date of the Monthly Statement of the Public Debt.</t>
  </si>
  <si>
    <t>(Millions of dollars)</t>
  </si>
  <si>
    <t>Amount Outstanding in Thousands</t>
  </si>
  <si>
    <t xml:space="preserve">*  </t>
  </si>
  <si>
    <t>NATURAL RESOURCE DAMAGE ASSESSMENT AND RESTORATION FUND, U.S. FISH AND WILDLIFE SERVICE, INTERIOR</t>
  </si>
  <si>
    <t>14X5198</t>
  </si>
  <si>
    <t>NUCLEAR WASTE DISPOSAL FUND, DEPARTMENT OF ENERGY</t>
  </si>
  <si>
    <t>89X5227</t>
  </si>
  <si>
    <t>20X8185</t>
  </si>
  <si>
    <t>NATIONAL CREDIT UNION SHARE INSURANCE FUND</t>
  </si>
  <si>
    <t>25X4468</t>
  </si>
  <si>
    <t>NATIONAL GIFT FUND, NATIONAL ARCHIVES AND RECORDS ADMINISTRATION</t>
  </si>
  <si>
    <t>88X8127</t>
  </si>
  <si>
    <t>WAGE AND HOUR AND PUBLIC CONTRACTS RESTITUTION FUND, LABOR</t>
  </si>
  <si>
    <t>SMITHSONIAN ENDOWMENT FUND, SMITHSONIAN INSTITUTION</t>
  </si>
  <si>
    <t>33X62201</t>
  </si>
  <si>
    <t>SPECIAL INVESTMENT ACCOUNT</t>
  </si>
  <si>
    <t>95X6167</t>
  </si>
  <si>
    <t>THRIFT SAVINGS FUND, FEDERAL RETIREMENT THRIFT INVESTMENT BOARD</t>
  </si>
  <si>
    <t>26X6153</t>
  </si>
  <si>
    <t>TREASURY DEPOSIT FUNDS</t>
  </si>
  <si>
    <t>20X6420</t>
  </si>
  <si>
    <t>UNEARNED COPYRIGHT FEES, LIBRARY OF CONGRESS</t>
  </si>
  <si>
    <t>03X6206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</si>
  <si>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</si>
  <si>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</si>
  <si>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</si>
  <si>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</si>
  <si>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</si>
  <si>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</si>
  <si>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</si>
  <si>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Nonmarketable--Continued:</t>
  </si>
  <si>
    <t>Abandoned Mines Reclamation Fund, Office of Surface Mining Reclamation</t>
  </si>
  <si>
    <t>TRUST FUND, THE BARRY GOLDWATER SCHOLARSHIP AND EXCELLENCE IN EDUCATION FUND</t>
  </si>
  <si>
    <t>95X8281</t>
  </si>
  <si>
    <t>UNEMPLOYMENT TRUST FUND</t>
  </si>
  <si>
    <t>20X8042</t>
  </si>
  <si>
    <t>UNITED STATES ENRICHMENT CORPORATION FUND</t>
  </si>
  <si>
    <t>95X4054</t>
  </si>
  <si>
    <t>CUSTODIAL TRIBAL FUND, OFFICE OF THE SPECIAL TRUSTEE FOR AMERICAN INDIANS</t>
  </si>
  <si>
    <t>14X6803</t>
  </si>
  <si>
    <t>DEPOSITS OF PROCEEDS OF LANDS WITHDRAWN FOR NATIVE SELECTION, BUREAU OF INDIAN AFFAIRS</t>
  </si>
  <si>
    <t>14X6140</t>
  </si>
  <si>
    <t>ESCROW ACCOUNT, NATIONAL LABOR RELATIONS BOARD</t>
  </si>
  <si>
    <t>63X6154</t>
  </si>
  <si>
    <t>Notes.......................................................................................…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</si>
  <si>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</si>
  <si>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This statement is available at 3 p.m. Eastern time on the 4th</t>
  </si>
  <si>
    <r>
      <t xml:space="preserve">workday of each month, at </t>
    </r>
    <r>
      <rPr>
        <b/>
        <u val="single"/>
        <sz val="22"/>
        <rFont val="Arial"/>
        <family val="2"/>
      </rPr>
      <t>www.publicdebt.treas.gov</t>
    </r>
  </si>
  <si>
    <t>912827 6R8</t>
  </si>
  <si>
    <t>912828  CZ1</t>
  </si>
  <si>
    <t>912827  6R8</t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</si>
  <si>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</si>
  <si>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 xml:space="preserve">   Act, as amended, Department of Labor................................................................................................................................................................................................................……….</t>
  </si>
  <si>
    <t>Redeemable at option of United States on and after dates indicated, unless otherwise shown, but only on interest dates on 4 months' notice.</t>
  </si>
  <si>
    <t>Redeemable on demand.</t>
  </si>
  <si>
    <t>These securities are exempt from all taxation now or hereafter imposed on the principal by any state or any possession of the United States or of any</t>
  </si>
  <si>
    <t>local taxing authority.</t>
  </si>
  <si>
    <t xml:space="preserve">  Grand Total...................................................................................................................................</t>
  </si>
  <si>
    <t>*</t>
  </si>
  <si>
    <t>Represents the unamortized discount on Treasury Bills and zero-coupon Treasury Bonds.</t>
  </si>
  <si>
    <t>Total Treasury Bonds...............................................................................…</t>
  </si>
  <si>
    <t>Christopher Columbus Scholarship Fund, Christopher Columbus</t>
  </si>
  <si>
    <t>FEDERAL SHIP FINANCING ESCROW FUND, MARITIME ADMINISTRATION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</si>
  <si>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</si>
  <si>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Issued pursuant to Sec. 832(e), Internal Revenue Code of 1954.</t>
  </si>
  <si>
    <t>TAX STATUS:</t>
  </si>
  <si>
    <t>c</t>
  </si>
  <si>
    <t>bearing issue dates prior to February 2003 retain the 6 month minimum holding period from the date of issue at which time they may be redeemed at the</t>
  </si>
  <si>
    <t xml:space="preserve">option of the owner. </t>
  </si>
  <si>
    <t>JAMES MADISON MEMORIAL FELLOWSHIP FOUNDATION FUND</t>
  </si>
  <si>
    <t>95X8282</t>
  </si>
  <si>
    <t xml:space="preserve"> Series E...………....................………………</t>
  </si>
  <si>
    <t>12, 20</t>
  </si>
  <si>
    <t>Total Marketable consists of short-term debt (1 year and less) of $942,243 million, long-term debt (greater than 1 year) of $3,105,553 million and</t>
  </si>
  <si>
    <t>matured debt of $30,108 million.</t>
  </si>
  <si>
    <t>Aviation Insurance Revolving Fund..................................................................................................................................…</t>
  </si>
  <si>
    <t>07/31-01/31</t>
  </si>
  <si>
    <t xml:space="preserve"> Series HH..........................................................</t>
  </si>
  <si>
    <t>Custodial Tribal Fund, Office of the Special Trustee for American Indians...............................................................................…</t>
  </si>
  <si>
    <t>National Institutes of Health Conditional Gift Fund.........................................................................................................................................................................................................…</t>
  </si>
  <si>
    <t>Total Unmatured Treasury Bonds...............................................................................…</t>
  </si>
  <si>
    <t>Total Matured Treasury Bonds...............................................................................…</t>
  </si>
  <si>
    <t>Gifts, Central Intelligence Agency.................................................................................................................................................................…</t>
  </si>
  <si>
    <t>Special Investment Account.................................................................................................................................................................…</t>
  </si>
  <si>
    <t>auctions 4-,13- and 26- week bills.</t>
  </si>
  <si>
    <t>as ordinary income.  Under Section 1281 of the Internal Revenue Code, some holder of Treasury Bills are required to include currently in income a portion</t>
  </si>
  <si>
    <t>Other Debt Not Subject to Limit..................................................................................…</t>
  </si>
  <si>
    <t>BEQUESTS AND GIFTS, DISASTER RELIEF, FUNDS APPROPRIATED TO THE PRESIDENT</t>
  </si>
  <si>
    <t>COAST GUARD GENERAL GIFT FUND</t>
  </si>
  <si>
    <t>The difference between the price paid for a Treasury Bill and the amount received at redemption upon maturity is treated as ordinary income.  If the bill is</t>
  </si>
  <si>
    <t>912795  VY4</t>
  </si>
  <si>
    <t>912795  VZ1</t>
  </si>
  <si>
    <t>912795  WA5</t>
  </si>
  <si>
    <t>912795  WB3</t>
  </si>
  <si>
    <t>912828  DS6</t>
  </si>
  <si>
    <t>902828  DS6</t>
  </si>
  <si>
    <t>912820  LP0</t>
  </si>
  <si>
    <t>912828  DT4</t>
  </si>
  <si>
    <t>912820  LQ8</t>
  </si>
  <si>
    <t>912828  DU1</t>
  </si>
  <si>
    <t>912820  LR6</t>
  </si>
  <si>
    <t>912828  DV9</t>
  </si>
  <si>
    <t>912820  LS4</t>
  </si>
  <si>
    <t>912828  DW7</t>
  </si>
  <si>
    <t>912810  EJ3</t>
  </si>
  <si>
    <t>912810  EK0</t>
  </si>
  <si>
    <t>912810  EL8</t>
  </si>
  <si>
    <t>912810  EM6</t>
  </si>
  <si>
    <t>912810  EN4</t>
  </si>
  <si>
    <t>912810  EP9</t>
  </si>
  <si>
    <t>912810  EQ7</t>
  </si>
  <si>
    <t>912810  ES3</t>
  </si>
  <si>
    <t>912810  ET1</t>
  </si>
  <si>
    <t>912810  EV6</t>
  </si>
  <si>
    <t>912810  EW4</t>
  </si>
  <si>
    <t>912810  EX2</t>
  </si>
  <si>
    <t>912810  EY0</t>
  </si>
  <si>
    <t>912810  EZ7</t>
  </si>
  <si>
    <t>912810  FA1</t>
  </si>
  <si>
    <t>912810  FB9</t>
  </si>
  <si>
    <t>912810  FE3</t>
  </si>
  <si>
    <t>912810  FF0</t>
  </si>
  <si>
    <t>912810  FG8</t>
  </si>
  <si>
    <t>912810  FJ2</t>
  </si>
  <si>
    <t>912810  FM5</t>
  </si>
  <si>
    <t>912810  FP8</t>
  </si>
  <si>
    <t>912827  3T7</t>
  </si>
  <si>
    <t>912827  4Y5</t>
  </si>
  <si>
    <t>912827  5W8</t>
  </si>
  <si>
    <t>912827  7J5</t>
  </si>
  <si>
    <t>912828  BD1</t>
  </si>
  <si>
    <t>912828  BW9</t>
  </si>
  <si>
    <t>912828  CP3</t>
  </si>
  <si>
    <t>912828  DH0</t>
  </si>
  <si>
    <t>912810  FD5</t>
  </si>
  <si>
    <t>912810  FH6</t>
  </si>
  <si>
    <t>912810  FQ6</t>
  </si>
  <si>
    <t>912795  VL2</t>
  </si>
  <si>
    <t>RELIEF AND REHABILITATION, LONGSHOREMEN'S AND HARBOR WORKERS' COMPENSATION ACT, AS AMENDED, DEPARTMENT OF L</t>
  </si>
  <si>
    <t>16X8130</t>
  </si>
  <si>
    <t>Veterans Special Life Insurance Fund, Trust Revolving Fund, Department of</t>
  </si>
  <si>
    <t>Vietnam Claims Fund, Financial Management Service....................................................................................................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</si>
  <si>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</si>
  <si>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</si>
  <si>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Department of Defense Military Retirement Fund.......................................................................................................</t>
  </si>
  <si>
    <t>Department of the Air Force General Gift Fund...........................................................................................................</t>
  </si>
  <si>
    <t>CHEYENNE RIVER SIOUX TRIBE TERRESTRIAL WILDLIFE HABITAT RESTORATION TRUST FUND</t>
  </si>
  <si>
    <t>20X8209</t>
  </si>
  <si>
    <t>CHRISTOPHER COLUMBUS SCHOLARSHIP FUND, CHRISTOPHER COLUMBUS FELLOWSHIP FOUNDATION</t>
  </si>
  <si>
    <t>76X8187</t>
  </si>
  <si>
    <t>CIVIL SERVICE RETIREMENT AND DISABILITY FUND, OFFICE OF PERSONNEL MANAGEMENT</t>
  </si>
  <si>
    <t>24X8135</t>
  </si>
  <si>
    <t>CLAIMS COURT JUDGES RETIREMENT FUND</t>
  </si>
  <si>
    <t>10X8124</t>
  </si>
  <si>
    <t>70X8533</t>
  </si>
  <si>
    <t>COMMUNITY DEVELOPMENT CREDIT UNION REVOLVING FUND, NATIONAL CREDIT UNION ADMINISTRATION</t>
  </si>
  <si>
    <t>25X4472</t>
  </si>
  <si>
    <t>CONTRIBUTIONS, AMERICAN BATTLE MONUMENTS COMMISSION</t>
  </si>
  <si>
    <t>COURT OF VETERANS APPEALS RETIREMENT FUND</t>
  </si>
  <si>
    <t>95X8290</t>
  </si>
  <si>
    <t>DEPARTMENT OF DEFENSE, EDUCATION BENEFITS FUND</t>
  </si>
  <si>
    <t>97X8098</t>
  </si>
  <si>
    <t>DEPARTMENT OF DEFENSE MEDICARE ELIGIBLE RETIREE FUND</t>
  </si>
  <si>
    <t>97X5472</t>
  </si>
  <si>
    <t>DEPARTMENT OF DEFENSE MILITARY RETIREMENT FUND</t>
  </si>
  <si>
    <t>97X8097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</si>
  <si>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</si>
  <si>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>EISENHOWER EXCHANGE FELLOWSHIP PROGRAM TRUST FUND</t>
  </si>
  <si>
    <t>95X8276</t>
  </si>
  <si>
    <t>EMPLOYEES' HEALTH BENEFITS FUND, OFFICE OF PERSONNEL MANAGEMENT</t>
  </si>
  <si>
    <t>24X8440</t>
  </si>
  <si>
    <t>EMPLOYEES' LIFE INSURANCE FUND, OFFICE OF PERSONNEL MANAGEMENT</t>
  </si>
  <si>
    <t>24X8424</t>
  </si>
  <si>
    <t>ENDEAVOR TEACHER FELLOWSHIP TRUST FUND</t>
  </si>
  <si>
    <t>80X8550</t>
  </si>
  <si>
    <t>IRANIAN CLAIMS SETTLEMENT FUND, TREASURY DEPARTMENT</t>
  </si>
  <si>
    <t>20X6312</t>
  </si>
  <si>
    <t>ASSETS FORFEITRUE FUND, JUSTICE</t>
  </si>
  <si>
    <t>15X5042</t>
  </si>
  <si>
    <t>AVIATION INSURANCE REVOLVING FUND</t>
  </si>
  <si>
    <t>69X41201</t>
  </si>
  <si>
    <t>BANK INSURANCE FUND, THE</t>
  </si>
  <si>
    <t>51X4064</t>
  </si>
  <si>
    <t>BELIZE ESCROW, DEBT REDUCTION, TREASURY</t>
  </si>
  <si>
    <t>20X6317</t>
  </si>
  <si>
    <t>70X8244</t>
  </si>
  <si>
    <t>LOWER BRULE SIOUX TRIBE TERRESTRIAL WILDLIFE HABITAT RESTORATION TRUST FUND</t>
  </si>
  <si>
    <t>20X8207</t>
  </si>
  <si>
    <t>Bills are sold by competitive bidding on a bank discount yield basis.  The sale price of these securities gives an approximate yield on a  bank discount</t>
  </si>
  <si>
    <t>International Center for Middle Eastern-Western Dialogue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</si>
  <si>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7   e</t>
  </si>
  <si>
    <t>7  e</t>
  </si>
  <si>
    <t>11 e</t>
  </si>
  <si>
    <t>13  e</t>
  </si>
  <si>
    <t>FEDERAL HOUSING ADMINISTRATION - LIQUIDATING ACCOUNT, HOUSING AND URBAN DEVELOPMENT</t>
  </si>
  <si>
    <t>HAZARDOUS SUBSTANCE SUPERFUND</t>
  </si>
  <si>
    <t>Total Treasury Inflation-Protected Securities.................................................</t>
  </si>
  <si>
    <t>National and Federal Reserve Bank Notes assumed by the United States on deposit of lawful money for their retirement ...........................................................................................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</si>
  <si>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</si>
  <si>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sold before maturity, part of the difference between the holder's basis (cost) and the gain realized may be treated as capital gain and part may be treated</t>
  </si>
  <si>
    <t>Domestic Series..................................................................................…</t>
  </si>
  <si>
    <t>Foreign Series..................................................................................…</t>
  </si>
  <si>
    <t>Exchange Stabilization Fund, Office of the Secretary, Treasury................................................................................................................</t>
  </si>
  <si>
    <t>Russian Leadership Development Trust Fund................................................................................................................................................................................…</t>
  </si>
  <si>
    <t>Operating Fund, National Credit Union Administration.........................................................................................</t>
  </si>
  <si>
    <t>Kuukpik Alaska Escrow Fund.................................................................................................................................................................…</t>
  </si>
  <si>
    <t>For price and yield ranges of unmatured securities issued at a premium or discount see Table 3, Public Debt Operations of the quarterly Treasury Bulletin.</t>
  </si>
  <si>
    <t>JAPAN-UNITED STATES FRIENDSHIP TRUST FUND, JAPAN-UNITED STATES FRIENDSHIP COMMISSION</t>
  </si>
  <si>
    <t>95X8025</t>
  </si>
  <si>
    <t>JOHN C. STENNIS CENTER FOR PUBLIC SERVICE TRAINING AND DEVELOPMENT</t>
  </si>
  <si>
    <t>09X8275</t>
  </si>
  <si>
    <t>These long-term marketable securities have  been issued to the Civil Service Retirement Fund and are not currently traded in the market.</t>
  </si>
  <si>
    <r>
      <t xml:space="preserve">Federal Financing Bank  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 .....................................................................................</t>
    </r>
  </si>
  <si>
    <r>
      <t xml:space="preserve">Federal Financing Bank  </t>
    </r>
    <r>
      <rPr>
        <vertAlign val="superscript"/>
        <sz val="14"/>
        <rFont val="Arial"/>
        <family val="2"/>
      </rPr>
      <t xml:space="preserve">1  </t>
    </r>
    <r>
      <rPr>
        <sz val="14"/>
        <rFont val="Arial"/>
        <family val="2"/>
      </rPr>
      <t xml:space="preserve">   .....................................................................................</t>
    </r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</si>
  <si>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</si>
  <si>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WAR-RISK INSURANCE REVOLVING FUND, MARITIME ADMINISTRATION</t>
  </si>
  <si>
    <t>69X4302</t>
  </si>
  <si>
    <t>50X65630023</t>
  </si>
  <si>
    <t>FEDERAL HOUSING ADMINISTRATION - FLEXIBLE SUBSIDY FUND, HOUSING PROGRAMS, HOUSING AND URBAN DEVELOPMENT</t>
  </si>
  <si>
    <t>86X4044</t>
  </si>
  <si>
    <t>FEDERAL HOUSING ADMINISTRATION - HOMEOWNER ASSISTANCE FUND, HOUSING PROGRAMS, HOUSING AND URBAN DEVELOPMENT</t>
  </si>
  <si>
    <t>86X4043</t>
  </si>
  <si>
    <t>PAJARITO PLATEAU HOMESTEADERS COMPENSATION FUND</t>
  </si>
  <si>
    <t>89X5520</t>
  </si>
  <si>
    <t>Disgorgement Penalty Amounts Held for Investment...............................................................................…</t>
  </si>
  <si>
    <t xml:space="preserve">FHA - Flexible Subsidy Fund, Housing Programs, Housing and </t>
  </si>
  <si>
    <t xml:space="preserve">   Urban Development............................................................................................................................................................…</t>
  </si>
  <si>
    <t xml:space="preserve">FHA - Homeowner Assistance Fund, Housing Programs, Housing and </t>
  </si>
  <si>
    <t>Pajarito Plateau Homesteaders Compensation Fund......................................................................................................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</si>
  <si>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</si>
  <si>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</si>
  <si>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</si>
  <si>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REREGISTRATION AND EXPEDITED PROCESSING FUND, ENVIRONMENTAL PROTECTION AGE</t>
  </si>
  <si>
    <t>68X4310</t>
  </si>
  <si>
    <t>INDIVIDUAL INDIAN MONEY, BUREAU OF INDIAN AFFAIRS</t>
  </si>
  <si>
    <t>14X6039</t>
  </si>
  <si>
    <t>KUUKPIK ALASKA ESCROW FUND</t>
  </si>
  <si>
    <t>14X6029</t>
  </si>
  <si>
    <t>German Democratic Republic Settlement Fund.........................................................................................................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</si>
  <si>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</si>
  <si>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basis (360 days a year) as indicated.  Effective November 10, 1997,  three decimal bidding, in .005 percent increments, is required for regular Treasury Bill</t>
  </si>
  <si>
    <t>Pension Benefit Guaranty Corporation..........................................................................................................................</t>
  </si>
  <si>
    <t>Conditional Gift Fund, General, Department of State..........................................................................................................................................…</t>
  </si>
  <si>
    <t>Unconditional Gift Fund, Department of State.............................................................................................................................................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</si>
  <si>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</si>
  <si>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</si>
  <si>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Harry S. Truman Memorial Scholarship Trust Fund, Harry S. Truman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</si>
  <si>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</si>
  <si>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</si>
  <si>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TAX COURT JUDGES SURVIVORS ANNUITY FUND</t>
  </si>
  <si>
    <t>23X8115</t>
  </si>
  <si>
    <t>TREASURY FORFEITURE FUND</t>
  </si>
  <si>
    <t>20X5697</t>
  </si>
  <si>
    <t>General Post Fund, National Homes, Department of Veterans Affairs....................................................................................................................………</t>
  </si>
  <si>
    <t>Gifts and Donations, National Endowment of the Arts..................................................................................................................</t>
  </si>
  <si>
    <t>BEQUESTS OF MAJOR GENERAL FRED C. AINSWORTH, LIBRARY, WALTER REED GENERAL HOSPITAL</t>
  </si>
  <si>
    <t>21X8063</t>
  </si>
  <si>
    <t>Botanic Gardens, Gifts and Donations.........................................................................................................................…</t>
  </si>
  <si>
    <t>Host Nation Support for U.S. Relocation Activities Account.......................................................................................................................................................................................................................................................</t>
  </si>
  <si>
    <t>912828  CT5</t>
  </si>
  <si>
    <t>912828  DC1</t>
  </si>
  <si>
    <t>912828  DM9</t>
  </si>
  <si>
    <t>912827  6T4</t>
  </si>
  <si>
    <t>912827  7B2</t>
  </si>
  <si>
    <t>912827  7L0</t>
  </si>
  <si>
    <t>912827  6X5</t>
  </si>
  <si>
    <t>912827  6N7</t>
  </si>
  <si>
    <t>912810  DR6</t>
  </si>
  <si>
    <t>912810  CS5</t>
  </si>
  <si>
    <t>912810  DU9</t>
  </si>
  <si>
    <t>912810  CV8</t>
  </si>
  <si>
    <t>912810  CY2</t>
  </si>
  <si>
    <t>912810  DB1</t>
  </si>
  <si>
    <t>912810  DF2</t>
  </si>
  <si>
    <t>912810  DJ4</t>
  </si>
  <si>
    <t>912810  DL9</t>
  </si>
  <si>
    <t>912810  DN5</t>
  </si>
  <si>
    <t>912810  DP0</t>
  </si>
  <si>
    <t>912810  DS4</t>
  </si>
  <si>
    <t>912810  DT2</t>
  </si>
  <si>
    <t>912810  DV7</t>
  </si>
  <si>
    <t>912810  DW5</t>
  </si>
  <si>
    <t>912810  DX3</t>
  </si>
  <si>
    <t>912810  DY1</t>
  </si>
  <si>
    <t>912810  DZ8</t>
  </si>
  <si>
    <t>912810  EA2</t>
  </si>
  <si>
    <t>912810  EB0</t>
  </si>
  <si>
    <t>912810  EC8</t>
  </si>
  <si>
    <t>912810  ED6</t>
  </si>
  <si>
    <t>912810  EE4</t>
  </si>
  <si>
    <t>912810  EF1</t>
  </si>
  <si>
    <t>912810  EG9</t>
  </si>
  <si>
    <t>912810  EH7</t>
  </si>
  <si>
    <t>Utah Reclamation Mitigation and Conservation Account, Interior........................................................................................................</t>
  </si>
  <si>
    <t>Government Account Series - Intragovernmental Holdings:</t>
  </si>
  <si>
    <t>Other Debt:</t>
  </si>
  <si>
    <t>Retired Employees Health Benefits Fund,</t>
  </si>
  <si>
    <t>b</t>
  </si>
  <si>
    <t>Coast Guard General Gift Fund..........................................................................................................................................…</t>
  </si>
  <si>
    <t>State and Local Government Series:</t>
  </si>
  <si>
    <t>Excludes $29 million National Bank Notes issued prior to July 1, 1929, and $2 million Federal Reserve Bank Notes issued prior to July 1, 1929, determined</t>
  </si>
  <si>
    <t>CONDITIONAL GIFT FUND, GENERAL, DEPARTMENT OF STATE</t>
  </si>
  <si>
    <t>19X8822</t>
  </si>
  <si>
    <t>UNCONDITIONAL GIFT FUND, DEPARTMENT OF STATE</t>
  </si>
  <si>
    <t>19X8821</t>
  </si>
  <si>
    <t xml:space="preserve">    National Credit Union Administration.................................................................................................................................................................…</t>
  </si>
  <si>
    <t>Treasury Forfeiture Fund.................................................................................................................................................</t>
  </si>
  <si>
    <t>912828  CQ1</t>
  </si>
  <si>
    <t>02/28-08/31</t>
  </si>
  <si>
    <t>912827  5Z1</t>
  </si>
  <si>
    <t>912828  CS7</t>
  </si>
  <si>
    <t>ENERGY EMPLOYEES OCCUPATIONAL ILLNESS COMPENSATION FUND</t>
  </si>
  <si>
    <t>16X1523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</si>
  <si>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</si>
  <si>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Uranium Enrichment and Decommissioning Fund, Department of Energy.........................................................................................................</t>
  </si>
  <si>
    <t>MORRIS K. UDALL SCHOLARSHIP AND EXCELLENCE IN NATIONAL ENVIRONMENTAL POLICY TRUST FUND</t>
  </si>
  <si>
    <t>95X8615</t>
  </si>
  <si>
    <t>Bank Insurance Fund, The............................................................................................................................................................................................…</t>
  </si>
  <si>
    <t>Government Account Series..................................................................................…</t>
  </si>
  <si>
    <t>Other..................................................................................…</t>
  </si>
  <si>
    <t>Total Treasury Bills...............................................................................…</t>
  </si>
  <si>
    <t>20X4108</t>
  </si>
  <si>
    <t>DC</t>
  </si>
  <si>
    <t>Total Unmatured Treasury Notes...............................................................................…</t>
  </si>
  <si>
    <t>Total Treasury Notes...............................................................................…</t>
  </si>
  <si>
    <t>United States Savings Securities:</t>
  </si>
  <si>
    <t>United States Savings Bonds:</t>
  </si>
  <si>
    <t>912827  2J0</t>
  </si>
  <si>
    <t>912828  BQ2</t>
  </si>
  <si>
    <t>912827  5G3</t>
  </si>
  <si>
    <t>Saving Association Insurance Fund, The..................................................................................................................</t>
  </si>
  <si>
    <t>ABANDONED MINES RECLAMATION FUND, OFFICE OF SURFACE MINING RECLAMATION AND ENFORCEMENT</t>
  </si>
  <si>
    <t>14X5015</t>
  </si>
  <si>
    <t>AIRPORT AND AIRWAY TRUST FUND</t>
  </si>
  <si>
    <t>20X8103</t>
  </si>
  <si>
    <t>ALBANIAN CLAIMS FUND, TREASURY DEPARTMENT</t>
  </si>
  <si>
    <t>20X6104</t>
  </si>
  <si>
    <t>AQUATIC RESOURCES TRUST FUND</t>
  </si>
  <si>
    <t>20X81472</t>
  </si>
  <si>
    <t>ARMED FORCES RETIREMENT HOME TRUST FUND</t>
  </si>
  <si>
    <t>GENERAL POST FUND, NATIONAL HOMES, DEPARTMENT OF VETERANS AFFAIRS</t>
  </si>
  <si>
    <t>36X8180</t>
  </si>
  <si>
    <t>GERMAN DEMOCRATIC REPUBLIC SETTLEMENT FUND</t>
  </si>
  <si>
    <t>VETERANS SPECIAL LIFE INSURANCE FUND, TRUST REVOLVING FUND, DEPARTMENT OF VETERANS AFFAIRS</t>
  </si>
  <si>
    <t>36X8455</t>
  </si>
  <si>
    <t>VIETNAM CLAIMS FUND, FINANCIAL MANAEMENT SERVICE</t>
  </si>
  <si>
    <t>20X6315</t>
  </si>
  <si>
    <t>VOLUNTARY SEPARATION INCENTIVE FUND, DEFENSE</t>
  </si>
  <si>
    <t>97X8335</t>
  </si>
  <si>
    <t>ISRAELI ARAB SCHOLARSHIP PROGRAM, UNITED STATES INFORMATION AGENCY</t>
  </si>
  <si>
    <t>19X8271</t>
  </si>
  <si>
    <t>16X6507</t>
  </si>
  <si>
    <t>PRISON INDUSTRIES FUND, DEPARTMENT OF JUSTICE</t>
  </si>
  <si>
    <t>15X4500</t>
  </si>
  <si>
    <t xml:space="preserve"> Series I..............................................................</t>
  </si>
  <si>
    <t>912828  CY4</t>
  </si>
  <si>
    <t>U</t>
  </si>
  <si>
    <t>912827  7F3</t>
  </si>
  <si>
    <t>84X8522</t>
  </si>
  <si>
    <t>912795  VU2</t>
  </si>
  <si>
    <t>912795  VV0</t>
  </si>
  <si>
    <t>912795  VW8</t>
  </si>
  <si>
    <t>912795  VX6</t>
  </si>
  <si>
    <t>912828  DR8</t>
  </si>
  <si>
    <t>912820  LN5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</si>
  <si>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</si>
  <si>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912810  FR4</t>
  </si>
  <si>
    <t>Wage and Hour and Public Contracts Restitution Fund, Labor...............................................................................…</t>
  </si>
  <si>
    <t>Fiscal Year 2005 to Date</t>
  </si>
  <si>
    <t>Department of Defense, Medicare Eligible Retiree Fund.....................................................................................................</t>
  </si>
  <si>
    <t>Defense Cooperation Account.....................................................................................................</t>
  </si>
  <si>
    <t>912827  X80</t>
  </si>
  <si>
    <t>GIFTS AND DONATIONS, NATIONAL ENDOWMENT OF THE ARTS</t>
  </si>
  <si>
    <t>59X8040</t>
  </si>
  <si>
    <t>GUARANTEES OF MORTGAGE-BACKED SECURITIES FUND, GOVERNMENT NATIONAL MORTGAGE ASSOCIATION, HOUSING AND URBAN</t>
  </si>
  <si>
    <t>86X4238</t>
  </si>
  <si>
    <t>HARBOR MAINTENANCE TRUST FUND</t>
  </si>
  <si>
    <t>20X8863</t>
  </si>
  <si>
    <t>Oil Spill Liability Trust Fund.............................................................................................................................................</t>
  </si>
  <si>
    <t>GIFTS AND BEQUESTS, TREASURY</t>
  </si>
  <si>
    <t>20X8790</t>
  </si>
  <si>
    <t>RESERVE MOBILIZATION INCOME INSURANCE FUND, DEFENSE</t>
  </si>
  <si>
    <t>97X4179</t>
  </si>
  <si>
    <t>Gifts and Bequests, Treasury............................................................................................................................................</t>
  </si>
  <si>
    <t>Unemployment Trust Fund..............................................................................................................................................</t>
  </si>
  <si>
    <t>Zero-coupon Treasury Bond.......................................</t>
  </si>
  <si>
    <t>Included in this total are marketable securities held by Federal agencies for which Treasury serves as the custodian.  Federal agencies may hold marketable</t>
  </si>
  <si>
    <t>Debentures issued (series MM) by FHA that are redeemable with 3 months' notification.</t>
  </si>
  <si>
    <t>Comparative by Breakdown</t>
  </si>
  <si>
    <t>09/15-03/15</t>
  </si>
  <si>
    <t>08/31-02/28</t>
  </si>
  <si>
    <t>912828  CB4</t>
  </si>
  <si>
    <t>Pursuant to 31 U.S.C. 3101(b).  By Act of November 19, 2004, Public Law 108-415, the Statutory Debt Limit was permanently increased to $8,184,000 million.</t>
  </si>
  <si>
    <t>ASSESSMENT FUNDS, OFFICE OF THE COMPTROLLER OF THE CURRENCY</t>
  </si>
  <si>
    <t>20X8413</t>
  </si>
  <si>
    <t>JUDICIAL OFFICERS RETIREMENT FUND</t>
  </si>
  <si>
    <t>10X8122</t>
  </si>
  <si>
    <t>JUDICIAL SURVIVORS ANNUITIES FUND</t>
  </si>
  <si>
    <t>10X8110</t>
  </si>
  <si>
    <t>KENNEDY CENTER REVENUE BOND SINKING FUND</t>
  </si>
  <si>
    <t>20X6311</t>
  </si>
  <si>
    <t>LAND BETWEEN THE LAKES TRUST FUND</t>
  </si>
  <si>
    <t>12X8039</t>
  </si>
  <si>
    <t>LEAKING UNDERGROUND STORAGE TANK TRUST FUND</t>
  </si>
  <si>
    <t>20X8153</t>
  </si>
  <si>
    <t>LIBRARY OF CONGRESS GIFT FUND</t>
  </si>
  <si>
    <t>03X8031</t>
  </si>
  <si>
    <t>LIBRARY OF CONGRESS TRUST FUND</t>
  </si>
  <si>
    <t>03X8032</t>
  </si>
  <si>
    <t>LINCOLN COUNTY LAND ACT</t>
  </si>
  <si>
    <t>14X5469</t>
  </si>
  <si>
    <t>NATIVE AMERICAN INSTITUTIONS ENDOWMENT FUND</t>
  </si>
  <si>
    <t>12X5205</t>
  </si>
  <si>
    <t>Endeavor Teacher Fellowship Trust Fund.................................................................................................................................................................…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</si>
  <si>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</si>
  <si>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</si>
  <si>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>912828  AH3</t>
  </si>
  <si>
    <t xml:space="preserve">    and Enforcement.................................................................................................................................................................…</t>
  </si>
  <si>
    <t>912803  AG8</t>
  </si>
  <si>
    <t>912803  AJ2</t>
  </si>
  <si>
    <t>912803  AC7</t>
  </si>
  <si>
    <t>912803  AE3</t>
  </si>
  <si>
    <t>912803  AF0</t>
  </si>
  <si>
    <t>912803  AH6</t>
  </si>
  <si>
    <t>912803  AK9</t>
  </si>
  <si>
    <t>912803  AL7</t>
  </si>
  <si>
    <t>912803  AM5</t>
  </si>
  <si>
    <t>912803  AN3</t>
  </si>
  <si>
    <t>912803  AP8</t>
  </si>
  <si>
    <t>912803  AQ6</t>
  </si>
  <si>
    <t>912803  AR4</t>
  </si>
  <si>
    <t>912803  AS2</t>
  </si>
  <si>
    <t>912803  AT0</t>
  </si>
  <si>
    <t>912803  AU7</t>
  </si>
  <si>
    <t>912803  AV5</t>
  </si>
  <si>
    <t>912803  AW3</t>
  </si>
  <si>
    <t>912803  AX1</t>
  </si>
  <si>
    <t>912803  AY9</t>
  </si>
  <si>
    <t>912803  AZ6</t>
  </si>
  <si>
    <t>912803  BA0</t>
  </si>
  <si>
    <t>912803  BB8</t>
  </si>
  <si>
    <t>912803  BC6</t>
  </si>
  <si>
    <t>912803  BD4</t>
  </si>
  <si>
    <t>912803  BE2</t>
  </si>
  <si>
    <t>912803  BF9</t>
  </si>
  <si>
    <t>912803  BG7</t>
  </si>
  <si>
    <t>912803  BH5</t>
  </si>
  <si>
    <t>912803  BJ1</t>
  </si>
  <si>
    <t>912803  BK8</t>
  </si>
  <si>
    <t>912803  BL6</t>
  </si>
  <si>
    <t>912803  BM4</t>
  </si>
  <si>
    <t>912803  BP7</t>
  </si>
  <si>
    <t>912803  BV4</t>
  </si>
  <si>
    <t>912803  BW2</t>
  </si>
  <si>
    <t>912803  CG6</t>
  </si>
  <si>
    <t>912803  CH4</t>
  </si>
  <si>
    <t>912803  CK7</t>
  </si>
  <si>
    <t>912820  BV8</t>
  </si>
  <si>
    <t>912820  CL9</t>
  </si>
  <si>
    <t>912820  DN4</t>
  </si>
  <si>
    <t>912820  EK9</t>
  </si>
  <si>
    <t>912820  KV8</t>
  </si>
  <si>
    <t>912820  GA9</t>
  </si>
  <si>
    <t>912820  GT8</t>
  </si>
  <si>
    <t>912820  HC4</t>
  </si>
  <si>
    <t>912820  JA6</t>
  </si>
  <si>
    <t>912820  JT5</t>
  </si>
  <si>
    <t>912820  KL0</t>
  </si>
  <si>
    <t>912820  LE5</t>
  </si>
  <si>
    <t>912803  CN1</t>
  </si>
  <si>
    <t>912803  BN2</t>
  </si>
  <si>
    <t>912803  CF8</t>
  </si>
  <si>
    <t>912803  CL5</t>
  </si>
  <si>
    <t>912820  LJ4</t>
  </si>
  <si>
    <t>912820  LB1</t>
  </si>
  <si>
    <t>912820  LD7</t>
  </si>
  <si>
    <t>912820  EM5</t>
  </si>
  <si>
    <t>912820  LH8</t>
  </si>
  <si>
    <t>912820  FT9</t>
  </si>
  <si>
    <t>912820  GC5</t>
  </si>
  <si>
    <t>912820  GL5</t>
  </si>
  <si>
    <t>912820  GV3</t>
  </si>
  <si>
    <t>912820  HF7</t>
  </si>
  <si>
    <t>912820  HL4</t>
  </si>
  <si>
    <t>912820  HR1</t>
  </si>
  <si>
    <t>912820  HX8</t>
  </si>
  <si>
    <t>912820  JE8</t>
  </si>
  <si>
    <t>912820  JN8</t>
  </si>
  <si>
    <t>912820  JX6</t>
  </si>
  <si>
    <t>912820  KF3</t>
  </si>
  <si>
    <t>912820  KQ9</t>
  </si>
  <si>
    <t>912820  KZ9</t>
  </si>
  <si>
    <t>912820  BP1</t>
  </si>
  <si>
    <t>912820  JF5</t>
  </si>
  <si>
    <t>912820  JH1</t>
  </si>
  <si>
    <t>912820  JK4</t>
  </si>
  <si>
    <t>912820  BQ9</t>
  </si>
  <si>
    <t>912820  FX0</t>
  </si>
  <si>
    <t>912820  JP3</t>
  </si>
  <si>
    <t>912820  JR9</t>
  </si>
  <si>
    <t>912820  JU2</t>
  </si>
  <si>
    <t>912820  BR7</t>
  </si>
  <si>
    <t>912820  JY4</t>
  </si>
  <si>
    <t>912820  KA4</t>
  </si>
  <si>
    <t>912820  KC0</t>
  </si>
  <si>
    <t>912820  BS5</t>
  </si>
  <si>
    <t>912820  GG6</t>
  </si>
  <si>
    <t>912820  HV2</t>
  </si>
  <si>
    <t>912820  KG1</t>
  </si>
  <si>
    <t>912820  KJ5</t>
  </si>
  <si>
    <t>912820  BT3</t>
  </si>
  <si>
    <t>912820  KM8</t>
  </si>
  <si>
    <t>912820  JC2</t>
  </si>
  <si>
    <t>912820  KR7</t>
  </si>
  <si>
    <t>912820  KT3</t>
  </si>
  <si>
    <t>912820  BU0</t>
  </si>
  <si>
    <t>912820  KW6</t>
  </si>
  <si>
    <t>912820  GQ4</t>
  </si>
  <si>
    <t>912820  JL2</t>
  </si>
  <si>
    <t>912820  LA3</t>
  </si>
  <si>
    <t>912820  LC9</t>
  </si>
  <si>
    <t>912820  LF2</t>
  </si>
  <si>
    <t>912820  BW6</t>
  </si>
  <si>
    <t>912820  JV0</t>
  </si>
  <si>
    <t>912820  LK1</t>
  </si>
  <si>
    <t>912820  BX4</t>
  </si>
  <si>
    <t>912820  EA1</t>
  </si>
  <si>
    <t>912820  KP1</t>
  </si>
  <si>
    <t>912820  KS5</t>
  </si>
  <si>
    <t>912820  KU0</t>
  </si>
  <si>
    <t>912820  KY2</t>
  </si>
  <si>
    <t>HARRY S. TRUMAN MEMORIAL SCHOLARSHIP TRUST FUND, HARRY S. TRUMAN SCHOLARSHIP FOUNDATION</t>
  </si>
  <si>
    <t>95X8296</t>
  </si>
  <si>
    <t>20X8145</t>
  </si>
  <si>
    <t>HIGHWAY TRUST FUND</t>
  </si>
  <si>
    <t>20X81022</t>
  </si>
  <si>
    <t>INLAND WATERWAYS TRUST FUND</t>
  </si>
  <si>
    <t>20X8861</t>
  </si>
  <si>
    <t>912828  BY5</t>
  </si>
  <si>
    <t>Contributions, American Battle Monuments Commission..........................................................................................</t>
  </si>
  <si>
    <r>
      <t xml:space="preserve">Total Matured Treasury Notes </t>
    </r>
    <r>
      <rPr>
        <vertAlign val="superscript"/>
        <sz val="12"/>
        <rFont val="Arial"/>
        <family val="2"/>
      </rPr>
      <t xml:space="preserve"> 19</t>
    </r>
    <r>
      <rPr>
        <sz val="12"/>
        <rFont val="Arial"/>
        <family val="0"/>
      </rPr>
      <t xml:space="preserve">................................................ </t>
    </r>
  </si>
  <si>
    <t>Total Nonmarketable consists of short-term debt (1 year and less) of $178,117 million, long-term debt (greater than 1 year) of $3,620,160 million and</t>
  </si>
  <si>
    <t>matured debt of $11,437 million.</t>
  </si>
  <si>
    <t>Includes $29,997 million of 1-1/2% Treasury Notes Series N and $496 million of Government Account Series which matured Sunday, July 31, 2005.</t>
  </si>
  <si>
    <t>Highway Trust Fund.......................................................................................................................................................</t>
  </si>
  <si>
    <t>Prison Industries Fund, Department of Justice......................................................................................................................…</t>
  </si>
  <si>
    <t>Not Subject to the Statutory Debt Limit: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</si>
  <si>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</si>
  <si>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</si>
  <si>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By the Public</t>
  </si>
  <si>
    <t>National Gift Fund, National Archives and Records Administration...............................................................…</t>
  </si>
  <si>
    <t>Veterans Reopened Insurance Fund...........................................................................................................................</t>
  </si>
  <si>
    <t>Servicemen's Group Life Insurance Fund................................................................................................................................</t>
  </si>
  <si>
    <r>
      <t xml:space="preserve">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</si>
  <si>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>Total Government Account Series - Intragovernmental Holdings.......................................................................................................................................................................................</t>
  </si>
  <si>
    <t>after, bonds presented for payment prior to age 59-1/2 years carry a penalty except in case of death or disability or upon "roll-over" to other authorized investments.</t>
  </si>
  <si>
    <t>United States Enrichment Corporation Fund......................................................................................................................................…</t>
  </si>
  <si>
    <t>11/30-05/31</t>
  </si>
  <si>
    <t>12/31-06/30</t>
  </si>
  <si>
    <t>08/15-02/15</t>
  </si>
  <si>
    <t>11/15-05/15</t>
  </si>
  <si>
    <t>10/15-04/15</t>
  </si>
  <si>
    <t>Social Security Equivalent Benefit Account, Railroad Retirement Board..........................................................................................…</t>
  </si>
  <si>
    <t>Sept. 30, 2003</t>
  </si>
  <si>
    <t>912827  V82</t>
  </si>
  <si>
    <t>912828  CM0</t>
  </si>
  <si>
    <t>................</t>
  </si>
  <si>
    <t>..............</t>
  </si>
  <si>
    <t>Vaccine Injury Compensation Trust Fund....................................................................................................................</t>
  </si>
  <si>
    <t xml:space="preserve">        This Month</t>
  </si>
  <si>
    <t>TRIBAL SPECIAL FUND, OFFICE OF THE SPECIAL TRUSTEE FOR AMERICAN INDIANS</t>
  </si>
  <si>
    <t>14X5265</t>
  </si>
  <si>
    <t>TRIBAL TRUST FUND, OFFICE OF THE SPECIAL TRUSTEE FOR AMERICAN INDIANS</t>
  </si>
  <si>
    <t>95X4331</t>
  </si>
  <si>
    <t xml:space="preserve">  (Various rates)..............................................</t>
  </si>
  <si>
    <t>Treasury Special Zero's - Notes..................</t>
  </si>
  <si>
    <t>Treasury Time Deposit - Bonds</t>
  </si>
  <si>
    <t>Total State and Local Government</t>
  </si>
  <si>
    <t xml:space="preserve">  Series..................................................................</t>
  </si>
  <si>
    <t>Trust Fund, The Barry Goldwater Scholarship and Excellence in Education Fund......................................................................................................................................................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</si>
  <si>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</si>
  <si>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NATIONAL INSTITUTES OF HEALTH CONDITIONAL GIFT FUND</t>
  </si>
  <si>
    <t>75X8253</t>
  </si>
  <si>
    <t>NATIONAL INSTITUTES OF HEALTH UNCONDITIONAL GIFT FUND</t>
  </si>
  <si>
    <t>75X8248</t>
  </si>
  <si>
    <t>NATIONAL SECURITY EDUCATION TRUST FUND</t>
  </si>
  <si>
    <t>97X8168</t>
  </si>
  <si>
    <t>NATIONAL SERVICE LIFE INSURANCE FUND, DEPARTMENT OF VETERANS AFFAIRS</t>
  </si>
  <si>
    <t>36X8132</t>
  </si>
  <si>
    <t>MATURITIES:</t>
  </si>
  <si>
    <t>f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</si>
  <si>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</si>
  <si>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Z62</t>
  </si>
  <si>
    <t>Reconstituted</t>
  </si>
  <si>
    <t>912795  VK4</t>
  </si>
  <si>
    <t>912795  VM0</t>
  </si>
  <si>
    <t>912795  VN8</t>
  </si>
  <si>
    <t>912828  BL3</t>
  </si>
  <si>
    <t>912828  BN9</t>
  </si>
  <si>
    <t>912828  BU3</t>
  </si>
  <si>
    <t>912828  BX7</t>
  </si>
  <si>
    <t>912828  CD0</t>
  </si>
  <si>
    <t>912828  CF5</t>
  </si>
  <si>
    <t>912828  CK4</t>
  </si>
  <si>
    <t>912828  BF6</t>
  </si>
  <si>
    <t>912828  CU2</t>
  </si>
  <si>
    <t>912828  CW8</t>
  </si>
  <si>
    <t>912828  DD9</t>
  </si>
  <si>
    <t>912828  DF4</t>
  </si>
  <si>
    <t>912828  DJ6</t>
  </si>
  <si>
    <t>912828  DN7</t>
  </si>
  <si>
    <t>912828  CG3</t>
  </si>
  <si>
    <t>912828  CR9</t>
  </si>
  <si>
    <t>912828  AN0</t>
  </si>
  <si>
    <t>912828  DK3</t>
  </si>
  <si>
    <t>912828  BG4</t>
  </si>
  <si>
    <t>912828  BK5</t>
  </si>
  <si>
    <t>912828  BM1</t>
  </si>
  <si>
    <t>912828  BT6</t>
  </si>
  <si>
    <t>912828  BV1</t>
  </si>
  <si>
    <t>912828  BZ2</t>
  </si>
  <si>
    <t>912828  CC2</t>
  </si>
  <si>
    <t>912828  CE8</t>
  </si>
  <si>
    <t>912828  CL2</t>
  </si>
  <si>
    <t>912828  CN8</t>
  </si>
  <si>
    <t>912828  CV0</t>
  </si>
  <si>
    <t>912828  CX6</t>
  </si>
  <si>
    <t>912828  DB3</t>
  </si>
  <si>
    <t>912828  DE7</t>
  </si>
  <si>
    <t>912828  DG2</t>
  </si>
  <si>
    <t>912828  AP5</t>
  </si>
  <si>
    <t>912828  AU4</t>
  </si>
  <si>
    <t>912828  BA7</t>
  </si>
  <si>
    <t>912828  BH2</t>
  </si>
  <si>
    <t>912828  BR0</t>
  </si>
  <si>
    <t>912828  CA6</t>
  </si>
  <si>
    <t>912828  CJ7</t>
  </si>
  <si>
    <t>RELIEF AND REHABILITIATION, WORKMEN'S COMPENSATION ACT, WITHIN THE DISTRICT OF COLUMBIA, DEPARTMENT OF LABO</t>
  </si>
  <si>
    <t>16X8134</t>
  </si>
  <si>
    <t>Employees' Life Insurance Fund, Office of Personnel Management.....................................................................</t>
  </si>
  <si>
    <t>Federal Old-Age and Survivors Insurance Trust Fund.................................................................................................…</t>
  </si>
  <si>
    <t>National Archives Trust Fund, National Archives and Records Administration...............................................................…</t>
  </si>
  <si>
    <t>02/15-08/15</t>
  </si>
  <si>
    <t>K</t>
  </si>
  <si>
    <t>L</t>
  </si>
  <si>
    <t>Sept. 30, 2001</t>
  </si>
  <si>
    <t>COMPILED AND PUBLISHED BY</t>
  </si>
  <si>
    <t>THE BUREAU OF THE PUBLIC DEBT</t>
  </si>
  <si>
    <t>Issue</t>
  </si>
  <si>
    <t>Interest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</si>
  <si>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</si>
  <si>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>912827  3X8</t>
  </si>
  <si>
    <t>912828  AJ9</t>
  </si>
  <si>
    <t>912827  4F6</t>
  </si>
  <si>
    <t>DEPARTMENT OF THE AIR FORCE GENERAL GIFT FUND</t>
  </si>
  <si>
    <t>57X8928</t>
  </si>
  <si>
    <t>DEPARTMENT OF THE ARMY GENERAL GIFT FUND</t>
  </si>
  <si>
    <t>21X8927</t>
  </si>
  <si>
    <t>DEPARTMENT OF THE NAVY GENERAL GIFT FUND</t>
  </si>
  <si>
    <t>17X8716</t>
  </si>
  <si>
    <t>20X8212</t>
  </si>
  <si>
    <t>RUSSIAN LEADERSHIP DEVELOPMENT TRUST FUND</t>
  </si>
  <si>
    <t>14X8030</t>
  </si>
  <si>
    <t>Panama Canal Commission Compensation Fund......................................................................................................</t>
  </si>
  <si>
    <t>.............</t>
  </si>
  <si>
    <t>Treasury Notes:</t>
  </si>
  <si>
    <t>Series:</t>
  </si>
  <si>
    <t>Interest Rate:</t>
  </si>
  <si>
    <t>V</t>
  </si>
  <si>
    <t>06/30-12/31</t>
  </si>
  <si>
    <t>E</t>
  </si>
  <si>
    <t>01/15-07/15</t>
  </si>
  <si>
    <t>J</t>
  </si>
  <si>
    <t>01/31-07/31</t>
  </si>
  <si>
    <t>A</t>
  </si>
  <si>
    <t>Judicial Officers Retirement Fund...............................................................................................................................</t>
  </si>
  <si>
    <t>Effective May 1, 1987, securities held in stripped form were eligible for reconstitution to their unstripped form.</t>
  </si>
  <si>
    <t>Iranian Claims Settlement Fund, Treasury Department....................................................................................................................................</t>
  </si>
  <si>
    <t>Federal Aid to Wildlife Restoration, United States Fish and Wildlife Service.......................................................</t>
  </si>
  <si>
    <t>Federal Disability Insurance Trust Fund.........................................................................................................................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</si>
  <si>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</si>
  <si>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</si>
  <si>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912827  2M3</t>
  </si>
  <si>
    <t>912828  AF7</t>
  </si>
  <si>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</si>
  <si>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 xml:space="preserve">    General Hospital.................................................................................................................................................................…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</si>
  <si>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</si>
  <si>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</si>
  <si>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District of Columbia Judges Retirement Fund.............................................................................................................................................</t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</si>
  <si>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</si>
  <si>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</si>
  <si>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 xml:space="preserve"> Series H..............................................................</t>
  </si>
  <si>
    <t>FHA - Liquidating Account, Housing and Urban Development.......................................................................................................................................................…</t>
  </si>
  <si>
    <t>Total Public Debt Outstanding......................................................................…</t>
  </si>
  <si>
    <t>Treasury Inflation-Protected Securities..................................................................................…</t>
  </si>
  <si>
    <t>Total Treasury Notes................................................................</t>
  </si>
  <si>
    <t>Total Treasury Bonds....................................................................</t>
  </si>
  <si>
    <t>John C. Stennis Center for Public Service Training and Development.................................................................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</si>
  <si>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</si>
  <si>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</si>
  <si>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Assets Forfeiture Fund, Justice......................................................................................................................................</t>
  </si>
  <si>
    <t>OIL SPILL LIABILITY TRUST FUND</t>
  </si>
  <si>
    <t>SENATE PRESERVATION TRUST FUND</t>
  </si>
  <si>
    <t>United States Savings Securities..................................................................................…</t>
  </si>
  <si>
    <t>NATIONAL SERVICE TRUST, CORPORATION FOR NATIONAL AND COMMUNITY SERVICES</t>
  </si>
  <si>
    <t>95X8267</t>
  </si>
  <si>
    <t>Capitol Preservation Fund, U.S. Capitol Preservation Commission.....................................................................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</si>
  <si>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</si>
  <si>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Armed Forces Retirement Home Trust Fund.................................................................................................................................…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</si>
  <si>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</si>
  <si>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>Aquatic Resources Trust Fund.....................................................................................................................................</t>
  </si>
  <si>
    <t>Albanian Claims Fund, Treasury Department.......................................................................................................................</t>
  </si>
  <si>
    <t>Sept. 30, 2002</t>
  </si>
  <si>
    <t>URANIUM ENRICHMENT AND DECOMMISSIONING FUND, DEPARTMENT OF ENERGY</t>
  </si>
  <si>
    <t>89X5231</t>
  </si>
  <si>
    <t>UTAH RECLAMATION MITIGATION AND CONSERVATION ACCOUNT, INTERIOR</t>
  </si>
  <si>
    <t>14X5174</t>
  </si>
  <si>
    <t>VACCINE INJURY COMPENSATION TRUST FUND</t>
  </si>
  <si>
    <t>20X8175</t>
  </si>
  <si>
    <t>VETERANS REOPENED INSURANCE FUND</t>
  </si>
  <si>
    <t>36X4010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</si>
  <si>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</si>
  <si>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DEFENSE COOPERATION ACCOUNT, DEFENSE</t>
  </si>
  <si>
    <t>97X5187</t>
  </si>
  <si>
    <t>NATIONAL ARCHIVES TRUST FUND, NATIONAL ARCHIVES AND RECORDS ADMINISTRATION</t>
  </si>
  <si>
    <t>88X8436</t>
  </si>
  <si>
    <t>National Law Enforcement Officers Memorial Maintenance Fund...............................................................................................…</t>
  </si>
  <si>
    <t>Available on the fourth business day of each month.</t>
  </si>
  <si>
    <t>UNITED STATES GOVERNMENT LIFE INSURANCE FUND, DEPARTMENT OF VETERANS AFFAIRS</t>
  </si>
  <si>
    <t>36X8150</t>
  </si>
  <si>
    <t>UNITED STATES NAVAL ACADEMY GENERAL GIFT FUND</t>
  </si>
  <si>
    <t>17X8733</t>
  </si>
  <si>
    <t>UNITED STATES TRUSTEE SYSTEM FUND, JUSTICE</t>
  </si>
  <si>
    <t>15X5073</t>
  </si>
  <si>
    <t>Belize Escrow, Debt Reduction, Treasury.........................................................................................................................…</t>
  </si>
  <si>
    <t>DC FEDERAL PENSION FUND</t>
  </si>
  <si>
    <t>20X5511</t>
  </si>
  <si>
    <t>912820  GZ4</t>
  </si>
  <si>
    <t>912820  KD8</t>
  </si>
  <si>
    <t>912820  CA3</t>
  </si>
  <si>
    <t>912820  HE0</t>
  </si>
  <si>
    <t>912820  KN6</t>
  </si>
  <si>
    <t>912820  HK6</t>
  </si>
  <si>
    <t>912820  CQ8</t>
  </si>
  <si>
    <t>912820  HQ3</t>
  </si>
  <si>
    <t>912820  LG0</t>
  </si>
  <si>
    <t>912820  CY1</t>
  </si>
  <si>
    <t>912820  HW0</t>
  </si>
  <si>
    <t>912820  JW8</t>
  </si>
  <si>
    <t>912820  JZ1</t>
  </si>
  <si>
    <t>912820  KB2</t>
  </si>
  <si>
    <t>912820  DV6</t>
  </si>
  <si>
    <t>912820  KE6</t>
  </si>
  <si>
    <t>912820  KH9</t>
  </si>
  <si>
    <t>912820  JD0</t>
  </si>
  <si>
    <t>912820  JG3</t>
  </si>
  <si>
    <t>912820  JJ7</t>
  </si>
  <si>
    <t>912820  DK0</t>
  </si>
  <si>
    <t>912820  JM0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</si>
  <si>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</si>
  <si>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</si>
  <si>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The outstanding balances in this statement are based upon daily cash activity reports from Federal Reserve Banks and Bureau Offices and are subject to</t>
  </si>
  <si>
    <t>912828  BJ8</t>
  </si>
  <si>
    <t>02/29-08/31</t>
  </si>
  <si>
    <t>Senate Preservation Trust Fund.........................................................................................................................</t>
  </si>
  <si>
    <t>The bonds are issued at par and semiannual interest is added to principal.  Redeemable without interest during the first twelve months after issue date.  There-</t>
  </si>
  <si>
    <t>912827  U83</t>
  </si>
  <si>
    <t>Airport and Airway Trust Fund......................................................................................................................................</t>
  </si>
  <si>
    <t>Total Domestic Series....................................................</t>
  </si>
  <si>
    <t>Foreign Series:</t>
  </si>
  <si>
    <t>d</t>
  </si>
  <si>
    <t>Total Foreign Series....................................................</t>
  </si>
  <si>
    <t>R.E.A. Series:</t>
  </si>
  <si>
    <t>5% Treasury Certificates of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</si>
  <si>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</si>
  <si>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</si>
  <si>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</si>
  <si>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Total Unmatured United States Savings Securities....................................................</t>
  </si>
  <si>
    <t>Total Public Debt Subject to Limit..................................................................................…</t>
  </si>
  <si>
    <t xml:space="preserve">Deposits of Proceeds of Lands Withdrawn for Native Selection, </t>
  </si>
  <si>
    <t>Maritime Guaranteed Loan Escrow Fund................................................................................................................................................................…</t>
  </si>
  <si>
    <t>RETIRED EMPLOYEES' HEALTH BENEFITS FUND, OFFICE OF PERSONNEL MANAGEMENT</t>
  </si>
  <si>
    <t>24X8445</t>
  </si>
  <si>
    <t>REVOLVING FUND FOR ADMINISTRATIVE EXPENSE, FARM CREDIT ADMINISTRATION</t>
  </si>
  <si>
    <t>78X4131</t>
  </si>
  <si>
    <t>09X8148</t>
  </si>
  <si>
    <t>OPERATING FUND, NATIONAL CREDIT UNION ADMINISTRATION</t>
  </si>
  <si>
    <t>25X4056</t>
  </si>
  <si>
    <t>Treasury Inflation-Protected Securities:</t>
  </si>
  <si>
    <t>Total Treasury Inflation-Protected Securities...............................................................................…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</si>
</sst>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  <numFmt numFmtId="191" formatCode="#,##0.0000000000_);\(#,##0.0000000000\)"/>
    <numFmt numFmtId="192" formatCode="0.00;[Red]0.00"/>
    <numFmt numFmtId="193" formatCode="&quot;$&quot;#,##0.00"/>
    <numFmt numFmtId="194" formatCode="0.000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22"/>
      <name val="Arial"/>
      <family val="2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</borders>
  <cellStyleXfs count="23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166" fontId="0" fillId="0" borderId="0" xfId="0" applyNumberFormat="1" applyAlignment="1" applyProtection="1">
      <alignment/>
      <protection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66" fontId="0" fillId="0" borderId="5" xfId="0" applyNumberFormat="1" applyBorder="1" applyAlignment="1" applyProtection="1">
      <alignment/>
      <protection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>
      <alignment horizontal="centerContinuous"/>
      <protection/>
    </xf>
    <xf numFmtId="37" fontId="0" fillId="0" borderId="4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37" fontId="0" fillId="0" borderId="4" xfId="0" applyNumberFormat="1" applyBorder="1" applyAlignment="1" applyProtection="1">
      <alignment horizontal="right"/>
      <protection/>
    </xf>
    <xf numFmtId="166" fontId="0" fillId="0" borderId="4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37" fontId="0" fillId="0" borderId="9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right"/>
    </xf>
    <xf numFmtId="37" fontId="0" fillId="0" borderId="15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37" fontId="0" fillId="0" borderId="17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 quotePrefix="1">
      <alignment horizontal="center"/>
    </xf>
    <xf numFmtId="166" fontId="0" fillId="0" borderId="4" xfId="0" applyNumberFormat="1" applyBorder="1" applyAlignment="1" applyProtection="1" quotePrefix="1">
      <alignment horizontal="centerContinuous"/>
      <protection/>
    </xf>
    <xf numFmtId="166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Continuous"/>
    </xf>
    <xf numFmtId="37" fontId="0" fillId="0" borderId="12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4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37" fontId="9" fillId="0" borderId="18" xfId="0" applyNumberFormat="1" applyFon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6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0" fillId="0" borderId="0" xfId="0" applyFont="1" applyBorder="1" applyAlignment="1">
      <alignment/>
    </xf>
    <xf numFmtId="166" fontId="0" fillId="0" borderId="4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1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0" fontId="0" fillId="0" borderId="19" xfId="0" applyBorder="1" applyAlignment="1">
      <alignment horizontal="centerContinuous"/>
    </xf>
    <xf numFmtId="0" fontId="0" fillId="0" borderId="0" xfId="0" applyAlignment="1" quotePrefix="1">
      <alignment horizontal="left"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 quotePrefix="1">
      <alignment/>
      <protection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4" xfId="0" applyNumberFormat="1" applyFont="1" applyBorder="1" applyAlignment="1">
      <alignment horizontal="centerContinuous"/>
    </xf>
    <xf numFmtId="7" fontId="0" fillId="0" borderId="21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169" fontId="18" fillId="0" borderId="0" xfId="0" applyNumberFormat="1" applyFont="1" applyAlignment="1" applyProtection="1">
      <alignment horizontal="left" vertical="center"/>
      <protection/>
    </xf>
    <xf numFmtId="0" fontId="0" fillId="0" borderId="4" xfId="0" applyBorder="1" applyAlignment="1">
      <alignment horizontal="right"/>
    </xf>
    <xf numFmtId="0" fontId="0" fillId="0" borderId="22" xfId="0" applyBorder="1" applyAlignment="1">
      <alignment horizontal="centerContinuous"/>
    </xf>
    <xf numFmtId="37" fontId="0" fillId="0" borderId="6" xfId="0" applyNumberFormat="1" applyBorder="1" applyAlignment="1" applyProtection="1">
      <alignment horizontal="centerContinuous"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 horizontal="right"/>
      <protection/>
    </xf>
    <xf numFmtId="0" fontId="0" fillId="0" borderId="16" xfId="0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0" fontId="0" fillId="0" borderId="6" xfId="0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180" fontId="0" fillId="0" borderId="6" xfId="15" applyNumberFormat="1" applyBorder="1" applyAlignment="1">
      <alignment horizontal="right"/>
    </xf>
    <xf numFmtId="180" fontId="6" fillId="0" borderId="6" xfId="15" applyNumberFormat="1" applyFont="1" applyBorder="1" applyAlignment="1">
      <alignment/>
    </xf>
    <xf numFmtId="180" fontId="9" fillId="0" borderId="23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24" xfId="0" applyFont="1" applyBorder="1" applyAlignment="1">
      <alignment/>
    </xf>
    <xf numFmtId="0" fontId="24" fillId="0" borderId="8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6" fillId="0" borderId="0" xfId="0" applyFont="1" applyAlignment="1">
      <alignment/>
    </xf>
    <xf numFmtId="180" fontId="16" fillId="0" borderId="15" xfId="15" applyNumberFormat="1" applyFont="1" applyBorder="1" applyAlignment="1">
      <alignment/>
    </xf>
    <xf numFmtId="180" fontId="8" fillId="0" borderId="4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6" xfId="0" applyNumberFormat="1" applyFont="1" applyBorder="1" applyAlignment="1">
      <alignment/>
    </xf>
    <xf numFmtId="37" fontId="8" fillId="0" borderId="19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8" xfId="0" applyNumberFormat="1" applyBorder="1" applyAlignment="1" applyProtection="1">
      <alignment horizontal="right"/>
      <protection/>
    </xf>
    <xf numFmtId="37" fontId="0" fillId="0" borderId="5" xfId="0" applyNumberForma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/>
    </xf>
    <xf numFmtId="37" fontId="6" fillId="0" borderId="20" xfId="0" applyNumberFormat="1" applyFont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18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6" xfId="0" applyFont="1" applyBorder="1" applyAlignment="1">
      <alignment/>
    </xf>
    <xf numFmtId="37" fontId="9" fillId="0" borderId="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19" xfId="0" applyNumberFormat="1" applyFont="1" applyBorder="1" applyAlignment="1" applyProtection="1">
      <alignment/>
      <protection/>
    </xf>
    <xf numFmtId="0" fontId="23" fillId="0" borderId="1" xfId="0" applyFont="1" applyBorder="1" applyAlignment="1">
      <alignment horizontal="center"/>
    </xf>
    <xf numFmtId="37" fontId="8" fillId="0" borderId="5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80" fontId="8" fillId="0" borderId="4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4" xfId="15" applyNumberFormat="1" applyFont="1" applyBorder="1" applyAlignment="1">
      <alignment/>
    </xf>
    <xf numFmtId="37" fontId="8" fillId="0" borderId="4" xfId="0" applyNumberFormat="1" applyFont="1" applyBorder="1" applyAlignment="1" applyProtection="1">
      <alignment/>
      <protection/>
    </xf>
    <xf numFmtId="180" fontId="8" fillId="0" borderId="12" xfId="15" applyNumberFormat="1" applyFont="1" applyBorder="1" applyAlignment="1">
      <alignment/>
    </xf>
    <xf numFmtId="180" fontId="8" fillId="0" borderId="28" xfId="0" applyNumberFormat="1" applyFont="1" applyBorder="1" applyAlignment="1">
      <alignment/>
    </xf>
    <xf numFmtId="0" fontId="25" fillId="0" borderId="4" xfId="0" applyFont="1" applyBorder="1" applyAlignment="1" quotePrefix="1">
      <alignment horizontal="right"/>
    </xf>
    <xf numFmtId="0" fontId="25" fillId="0" borderId="4" xfId="0" applyFont="1" applyBorder="1" applyAlignment="1">
      <alignment horizontal="right"/>
    </xf>
    <xf numFmtId="37" fontId="11" fillId="0" borderId="10" xfId="0" applyNumberFormat="1" applyFont="1" applyBorder="1" applyAlignment="1" applyProtection="1">
      <alignment/>
      <protection/>
    </xf>
    <xf numFmtId="0" fontId="1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9" xfId="0" applyFont="1" applyBorder="1" applyAlignment="1">
      <alignment/>
    </xf>
    <xf numFmtId="41" fontId="6" fillId="0" borderId="29" xfId="15" applyNumberFormat="1" applyFont="1" applyBorder="1" applyAlignment="1">
      <alignment/>
    </xf>
    <xf numFmtId="41" fontId="0" fillId="0" borderId="8" xfId="15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41" fontId="6" fillId="0" borderId="30" xfId="15" applyNumberFormat="1" applyFont="1" applyBorder="1" applyAlignment="1">
      <alignment/>
    </xf>
    <xf numFmtId="41" fontId="6" fillId="0" borderId="19" xfId="15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19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37" fontId="0" fillId="0" borderId="12" xfId="0" applyNumberFormat="1" applyBorder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 quotePrefix="1">
      <alignment horizontal="left" vertical="center"/>
    </xf>
    <xf numFmtId="37" fontId="0" fillId="0" borderId="8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37" fontId="0" fillId="0" borderId="3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12" xfId="0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7" fontId="0" fillId="0" borderId="14" xfId="0" applyNumberFormat="1" applyFont="1" applyBorder="1" applyAlignment="1">
      <alignment horizontal="centerContinuous"/>
    </xf>
    <xf numFmtId="7" fontId="0" fillId="0" borderId="16" xfId="0" applyNumberFormat="1" applyFont="1" applyBorder="1" applyAlignment="1">
      <alignment horizontal="centerContinuous"/>
    </xf>
    <xf numFmtId="7" fontId="0" fillId="0" borderId="32" xfId="0" applyNumberFormat="1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27" xfId="15" applyNumberFormat="1" applyFont="1" applyBorder="1" applyAlignment="1">
      <alignment/>
    </xf>
    <xf numFmtId="37" fontId="9" fillId="0" borderId="19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27" xfId="0" applyNumberFormat="1" applyFont="1" applyBorder="1" applyAlignment="1">
      <alignment/>
    </xf>
    <xf numFmtId="37" fontId="16" fillId="0" borderId="19" xfId="0" applyNumberFormat="1" applyFont="1" applyBorder="1" applyAlignment="1">
      <alignment/>
    </xf>
    <xf numFmtId="37" fontId="8" fillId="0" borderId="34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5" xfId="15" applyNumberFormat="1" applyFont="1" applyBorder="1" applyAlignment="1">
      <alignment horizontal="right"/>
    </xf>
    <xf numFmtId="37" fontId="16" fillId="0" borderId="16" xfId="15" applyNumberFormat="1" applyFont="1" applyBorder="1" applyAlignment="1">
      <alignment/>
    </xf>
    <xf numFmtId="37" fontId="0" fillId="0" borderId="0" xfId="0" applyNumberFormat="1" applyAlignment="1">
      <alignment/>
    </xf>
    <xf numFmtId="0" fontId="7" fillId="0" borderId="19" xfId="0" applyFont="1" applyBorder="1" applyAlignment="1">
      <alignment horizontal="left"/>
    </xf>
    <xf numFmtId="37" fontId="15" fillId="0" borderId="30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 horizontal="right"/>
      <protection/>
    </xf>
    <xf numFmtId="37" fontId="0" fillId="0" borderId="35" xfId="0" applyNumberFormat="1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 horizontal="centerContinuous"/>
      <protection/>
    </xf>
    <xf numFmtId="41" fontId="0" fillId="0" borderId="36" xfId="15" applyNumberFormat="1" applyFont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25" fillId="0" borderId="6" xfId="0" applyFont="1" applyBorder="1" applyAlignment="1" quotePrefix="1">
      <alignment horizontal="right"/>
    </xf>
    <xf numFmtId="1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right"/>
    </xf>
    <xf numFmtId="0" fontId="25" fillId="0" borderId="15" xfId="0" applyFont="1" applyBorder="1" applyAlignment="1" quotePrefix="1">
      <alignment horizontal="right"/>
    </xf>
    <xf numFmtId="0" fontId="25" fillId="0" borderId="15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37" fontId="0" fillId="0" borderId="14" xfId="0" applyNumberFormat="1" applyBorder="1" applyAlignment="1" applyProtection="1">
      <alignment/>
      <protection/>
    </xf>
    <xf numFmtId="177" fontId="0" fillId="0" borderId="37" xfId="0" applyNumberFormat="1" applyFont="1" applyBorder="1" applyAlignment="1" applyProtection="1">
      <alignment horizontal="center"/>
      <protection/>
    </xf>
    <xf numFmtId="37" fontId="0" fillId="0" borderId="38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>
      <alignment horizontal="right"/>
    </xf>
    <xf numFmtId="37" fontId="0" fillId="0" borderId="28" xfId="0" applyNumberFormat="1" applyBorder="1" applyAlignment="1" applyProtection="1">
      <alignment horizontal="right"/>
      <protection/>
    </xf>
    <xf numFmtId="0" fontId="8" fillId="0" borderId="0" xfId="0" applyFont="1" applyBorder="1" applyAlignment="1">
      <alignment horizontal="centerContinuous"/>
    </xf>
    <xf numFmtId="37" fontId="0" fillId="0" borderId="39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37" fontId="0" fillId="0" borderId="12" xfId="0" applyNumberFormat="1" applyFont="1" applyBorder="1" applyAlignment="1">
      <alignment/>
    </xf>
    <xf numFmtId="41" fontId="0" fillId="0" borderId="28" xfId="15" applyNumberFormat="1" applyFont="1" applyBorder="1" applyAlignment="1">
      <alignment/>
    </xf>
    <xf numFmtId="37" fontId="6" fillId="0" borderId="40" xfId="0" applyNumberFormat="1" applyFont="1" applyBorder="1" applyAlignment="1" applyProtection="1">
      <alignment/>
      <protection/>
    </xf>
    <xf numFmtId="37" fontId="6" fillId="0" borderId="41" xfId="0" applyNumberFormat="1" applyFont="1" applyBorder="1" applyAlignment="1" applyProtection="1">
      <alignment/>
      <protection/>
    </xf>
    <xf numFmtId="37" fontId="6" fillId="0" borderId="41" xfId="0" applyNumberFormat="1" applyFont="1" applyBorder="1" applyAlignment="1" applyProtection="1">
      <alignment horizontal="centerContinuous"/>
      <protection/>
    </xf>
    <xf numFmtId="37" fontId="6" fillId="0" borderId="40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centerContinuous"/>
      <protection/>
    </xf>
    <xf numFmtId="0" fontId="6" fillId="0" borderId="14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37" fontId="6" fillId="0" borderId="41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/>
      <protection/>
    </xf>
    <xf numFmtId="166" fontId="0" fillId="0" borderId="13" xfId="0" applyNumberFormat="1" applyBorder="1" applyAlignment="1" applyProtection="1">
      <alignment horizontal="centerContinuous"/>
      <protection/>
    </xf>
    <xf numFmtId="166" fontId="0" fillId="0" borderId="14" xfId="0" applyNumberFormat="1" applyBorder="1" applyAlignment="1" applyProtection="1">
      <alignment horizontal="centerContinuous"/>
      <protection/>
    </xf>
    <xf numFmtId="0" fontId="6" fillId="0" borderId="0" xfId="0" applyFont="1" applyBorder="1" applyAlignment="1" quotePrefix="1">
      <alignment horizontal="right"/>
    </xf>
    <xf numFmtId="37" fontId="0" fillId="0" borderId="41" xfId="0" applyNumberFormat="1" applyFont="1" applyBorder="1" applyAlignment="1" applyProtection="1">
      <alignment/>
      <protection/>
    </xf>
    <xf numFmtId="0" fontId="0" fillId="0" borderId="0" xfId="21" applyFont="1">
      <alignment/>
      <protection/>
    </xf>
    <xf numFmtId="37" fontId="6" fillId="0" borderId="28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37" fontId="0" fillId="0" borderId="24" xfId="0" applyNumberFormat="1" applyBorder="1" applyAlignment="1" applyProtection="1">
      <alignment horizontal="centerContinuous"/>
      <protection/>
    </xf>
    <xf numFmtId="37" fontId="6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8" fillId="0" borderId="16" xfId="15" applyNumberFormat="1" applyFont="1" applyBorder="1" applyAlignment="1">
      <alignment horizontal="right"/>
    </xf>
    <xf numFmtId="0" fontId="25" fillId="0" borderId="24" xfId="0" applyFont="1" applyBorder="1" applyAlignment="1">
      <alignment/>
    </xf>
    <xf numFmtId="0" fontId="25" fillId="0" borderId="16" xfId="0" applyFont="1" applyBorder="1" applyAlignment="1">
      <alignment/>
    </xf>
    <xf numFmtId="194" fontId="0" fillId="0" borderId="0" xfId="0" applyNumberFormat="1" applyAlignment="1">
      <alignment horizontal="center"/>
    </xf>
    <xf numFmtId="166" fontId="0" fillId="0" borderId="4" xfId="0" applyNumberFormat="1" applyBorder="1" applyAlignment="1" applyProtection="1" quotePrefix="1">
      <alignment horizontal="center"/>
      <protection/>
    </xf>
    <xf numFmtId="166" fontId="0" fillId="0" borderId="12" xfId="0" applyNumberFormat="1" applyBorder="1" applyAlignment="1" applyProtection="1">
      <alignment horizontal="centerContinuous"/>
      <protection/>
    </xf>
    <xf numFmtId="49" fontId="0" fillId="0" borderId="0" xfId="0" applyNumberFormat="1" applyAlignment="1">
      <alignment/>
    </xf>
    <xf numFmtId="194" fontId="0" fillId="0" borderId="14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37" fontId="0" fillId="0" borderId="42" xfId="0" applyNumberFormat="1" applyFont="1" applyBorder="1" applyAlignment="1" applyProtection="1">
      <alignment horizontal="left"/>
      <protection/>
    </xf>
    <xf numFmtId="37" fontId="0" fillId="0" borderId="4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6" fillId="0" borderId="19" xfId="0" applyFont="1" applyBorder="1" applyAlignment="1">
      <alignment vertical="top"/>
    </xf>
    <xf numFmtId="0" fontId="6" fillId="0" borderId="19" xfId="0" applyFont="1" applyBorder="1" applyAlignment="1">
      <alignment horizontal="centerContinuous" vertical="top"/>
    </xf>
    <xf numFmtId="0" fontId="0" fillId="0" borderId="19" xfId="0" applyBorder="1" applyAlignment="1">
      <alignment horizontal="centerContinuous" vertical="top"/>
    </xf>
    <xf numFmtId="0" fontId="0" fillId="0" borderId="19" xfId="0" applyBorder="1" applyAlignment="1">
      <alignment vertical="top"/>
    </xf>
    <xf numFmtId="166" fontId="0" fillId="0" borderId="19" xfId="0" applyNumberFormat="1" applyBorder="1" applyAlignment="1" applyProtection="1">
      <alignment horizontal="centerContinuous" vertical="top"/>
      <protection/>
    </xf>
    <xf numFmtId="169" fontId="6" fillId="0" borderId="19" xfId="0" applyNumberFormat="1" applyFont="1" applyBorder="1" applyAlignment="1" applyProtection="1">
      <alignment horizontal="centerContinuous" vertical="top"/>
      <protection/>
    </xf>
    <xf numFmtId="0" fontId="6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centerContinuous" vertical="top"/>
    </xf>
    <xf numFmtId="0" fontId="6" fillId="0" borderId="16" xfId="0" applyFont="1" applyBorder="1" applyAlignment="1">
      <alignment horizontal="centerContinuous" vertical="top"/>
    </xf>
    <xf numFmtId="0" fontId="0" fillId="0" borderId="16" xfId="0" applyFont="1" applyBorder="1" applyAlignment="1">
      <alignment horizontal="centerContinuous" vertical="top"/>
    </xf>
    <xf numFmtId="0" fontId="0" fillId="0" borderId="16" xfId="0" applyFont="1" applyBorder="1" applyAlignment="1">
      <alignment vertical="top"/>
    </xf>
    <xf numFmtId="37" fontId="0" fillId="0" borderId="37" xfId="0" applyNumberFormat="1" applyFont="1" applyBorder="1" applyAlignment="1">
      <alignment/>
    </xf>
    <xf numFmtId="37" fontId="0" fillId="0" borderId="46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0" fontId="0" fillId="0" borderId="33" xfId="0" applyFont="1" applyBorder="1" applyAlignment="1">
      <alignment horizontal="centerContinuous" vertical="center"/>
    </xf>
    <xf numFmtId="173" fontId="0" fillId="0" borderId="47" xfId="0" applyNumberFormat="1" applyFont="1" applyBorder="1" applyAlignment="1" quotePrefix="1">
      <alignment horizontal="center" vertical="center"/>
    </xf>
    <xf numFmtId="0" fontId="0" fillId="0" borderId="47" xfId="0" applyNumberFormat="1" applyFont="1" applyBorder="1" applyAlignment="1" quotePrefix="1">
      <alignment horizontal="center" vertical="center"/>
    </xf>
    <xf numFmtId="0" fontId="0" fillId="0" borderId="39" xfId="0" applyNumberFormat="1" applyFont="1" applyBorder="1" applyAlignment="1" quotePrefix="1">
      <alignment horizontal="center" vertical="center"/>
    </xf>
    <xf numFmtId="0" fontId="0" fillId="0" borderId="48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19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4" xfId="0" applyFont="1" applyBorder="1" applyAlignment="1">
      <alignment horizontal="right" vertical="center"/>
    </xf>
    <xf numFmtId="14" fontId="0" fillId="0" borderId="4" xfId="0" applyNumberFormat="1" applyFont="1" applyBorder="1" applyAlignment="1" applyProtection="1">
      <alignment horizontal="center"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49" fontId="0" fillId="0" borderId="49" xfId="0" applyNumberFormat="1" applyFont="1" applyBorder="1" applyAlignment="1">
      <alignment horizontal="centerContinuous"/>
    </xf>
    <xf numFmtId="0" fontId="0" fillId="0" borderId="33" xfId="0" applyFont="1" applyBorder="1" applyAlignment="1">
      <alignment horizontal="center"/>
    </xf>
    <xf numFmtId="0" fontId="0" fillId="0" borderId="50" xfId="0" applyFont="1" applyBorder="1" applyAlignment="1">
      <alignment horizontal="centerContinuous"/>
    </xf>
    <xf numFmtId="37" fontId="0" fillId="0" borderId="51" xfId="0" applyNumberFormat="1" applyBorder="1" applyAlignment="1" applyProtection="1">
      <alignment/>
      <protection/>
    </xf>
    <xf numFmtId="37" fontId="0" fillId="0" borderId="52" xfId="0" applyNumberFormat="1" applyBorder="1" applyAlignment="1" applyProtection="1">
      <alignment horizontal="right"/>
      <protection/>
    </xf>
    <xf numFmtId="37" fontId="0" fillId="0" borderId="12" xfId="0" applyNumberFormat="1" applyBorder="1" applyAlignment="1" applyProtection="1">
      <alignment horizontal="right"/>
      <protection/>
    </xf>
    <xf numFmtId="37" fontId="0" fillId="0" borderId="40" xfId="0" applyNumberFormat="1" applyFont="1" applyBorder="1" applyAlignment="1" applyProtection="1">
      <alignment horizontal="right"/>
      <protection/>
    </xf>
    <xf numFmtId="37" fontId="0" fillId="0" borderId="41" xfId="0" applyNumberFormat="1" applyFont="1" applyBorder="1" applyAlignment="1" applyProtection="1">
      <alignment horizontal="centerContinuous"/>
      <protection/>
    </xf>
    <xf numFmtId="37" fontId="0" fillId="0" borderId="53" xfId="0" applyNumberFormat="1" applyFont="1" applyBorder="1" applyAlignment="1" applyProtection="1">
      <alignment horizontal="right"/>
      <protection/>
    </xf>
    <xf numFmtId="37" fontId="0" fillId="0" borderId="54" xfId="0" applyNumberFormat="1" applyFont="1" applyBorder="1" applyAlignment="1" applyProtection="1">
      <alignment horizontal="right"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55" xfId="0" applyNumberFormat="1" applyFont="1" applyBorder="1" applyAlignment="1" applyProtection="1">
      <alignment horizontal="right"/>
      <protection/>
    </xf>
    <xf numFmtId="37" fontId="0" fillId="0" borderId="27" xfId="0" applyNumberFormat="1" applyFont="1" applyBorder="1" applyAlignment="1" applyProtection="1">
      <alignment horizontal="centerContinuous"/>
      <protection/>
    </xf>
    <xf numFmtId="37" fontId="0" fillId="0" borderId="16" xfId="0" applyNumberFormat="1" applyBorder="1" applyAlignment="1" applyProtection="1">
      <alignment/>
      <protection/>
    </xf>
    <xf numFmtId="0" fontId="7" fillId="0" borderId="1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49" fontId="14" fillId="0" borderId="0" xfId="0" applyNumberFormat="1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16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ASCI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942975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33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78</xdr:row>
      <xdr:rowOff>0</xdr:rowOff>
    </xdr:from>
    <xdr:ext cx="104775" cy="247650"/>
    <xdr:sp>
      <xdr:nvSpPr>
        <xdr:cNvPr id="1" name="TextBox 1"/>
        <xdr:cNvSpPr txBox="1">
          <a:spLocks noChangeArrowheads="1"/>
        </xdr:cNvSpPr>
      </xdr:nvSpPr>
      <xdr:spPr>
        <a:xfrm>
          <a:off x="3581400" y="161925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80</xdr:row>
      <xdr:rowOff>0</xdr:rowOff>
    </xdr:from>
    <xdr:ext cx="104775" cy="247650"/>
    <xdr:sp>
      <xdr:nvSpPr>
        <xdr:cNvPr id="2" name="TextBox 2"/>
        <xdr:cNvSpPr txBox="1">
          <a:spLocks noChangeArrowheads="1"/>
        </xdr:cNvSpPr>
      </xdr:nvSpPr>
      <xdr:spPr>
        <a:xfrm>
          <a:off x="3581400" y="165925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76</xdr:row>
      <xdr:rowOff>180975</xdr:rowOff>
    </xdr:from>
    <xdr:ext cx="104775" cy="247650"/>
    <xdr:sp>
      <xdr:nvSpPr>
        <xdr:cNvPr id="3" name="TextBox 3"/>
        <xdr:cNvSpPr txBox="1">
          <a:spLocks noChangeArrowheads="1"/>
        </xdr:cNvSpPr>
      </xdr:nvSpPr>
      <xdr:spPr>
        <a:xfrm>
          <a:off x="3581400" y="159734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6"/>
  <sheetViews>
    <sheetView tabSelected="1" view="pageBreakPreview" zoomScale="75" zoomScaleNormal="65" zoomScaleSheetLayoutView="75" workbookViewId="0" topLeftCell="A1">
      <selection activeCell="D7" sqref="D7"/>
    </sheetView>
  </sheetViews>
  <sheetFormatPr defaultColWidth="8.88671875" defaultRowHeight="15"/>
  <cols>
    <col min="1" max="3" width="2.77734375" style="0" customWidth="1"/>
    <col min="4" max="4" width="5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8.99609375" style="0" customWidth="1"/>
    <col min="10" max="10" width="4.99609375" style="0" customWidth="1"/>
    <col min="11" max="11" width="4.88671875" style="0" customWidth="1"/>
    <col min="12" max="12" width="18.6640625" style="0" customWidth="1"/>
    <col min="13" max="13" width="4.77734375" style="0" customWidth="1"/>
  </cols>
  <sheetData>
    <row r="1" spans="1:235" ht="41.25">
      <c r="A1" s="370" t="s">
        <v>926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40.5" customHeight="1">
      <c r="A2" s="370" t="s">
        <v>258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47.25" customHeight="1">
      <c r="A3" s="372" t="s">
        <v>77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</row>
    <row r="4" spans="1:235" ht="20.25" customHeight="1" thickBot="1">
      <c r="A4" s="373" t="s">
        <v>260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13" ht="41.25" customHeight="1" thickTop="1">
      <c r="A5" s="393" t="s">
        <v>78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</row>
    <row r="6" spans="1:13" ht="24.75" customHeight="1">
      <c r="A6" s="368" t="s">
        <v>373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</row>
    <row r="7" spans="1:13" ht="20.25">
      <c r="A7" s="139"/>
      <c r="B7" s="139"/>
      <c r="C7" s="139"/>
      <c r="D7" s="139"/>
      <c r="E7" s="375" t="s">
        <v>67</v>
      </c>
      <c r="F7" s="376"/>
      <c r="G7" s="376"/>
      <c r="H7" s="377"/>
      <c r="I7" s="377"/>
      <c r="J7" s="378"/>
      <c r="K7" s="182"/>
      <c r="L7" s="184"/>
      <c r="M7" s="184"/>
    </row>
    <row r="8" spans="1:13" ht="20.25">
      <c r="A8" s="394" t="s">
        <v>261</v>
      </c>
      <c r="B8" s="394"/>
      <c r="C8" s="394"/>
      <c r="D8" s="383"/>
      <c r="E8" s="379" t="s">
        <v>70</v>
      </c>
      <c r="F8" s="382"/>
      <c r="G8" s="383"/>
      <c r="H8" s="379" t="s">
        <v>68</v>
      </c>
      <c r="I8" s="382"/>
      <c r="J8" s="383"/>
      <c r="K8" s="379" t="s">
        <v>64</v>
      </c>
      <c r="L8" s="380"/>
      <c r="M8" s="380"/>
    </row>
    <row r="9" spans="1:13" ht="20.25">
      <c r="A9" s="140"/>
      <c r="B9" s="140"/>
      <c r="C9" s="140"/>
      <c r="D9" s="141"/>
      <c r="E9" s="384" t="s">
        <v>922</v>
      </c>
      <c r="F9" s="385"/>
      <c r="G9" s="386"/>
      <c r="H9" s="384" t="s">
        <v>69</v>
      </c>
      <c r="I9" s="385"/>
      <c r="J9" s="386"/>
      <c r="K9" s="142"/>
      <c r="L9" s="143"/>
      <c r="M9" s="57"/>
    </row>
    <row r="10" spans="1:12" ht="18">
      <c r="A10" s="74" t="s">
        <v>263</v>
      </c>
      <c r="D10" s="8"/>
      <c r="E10" s="6"/>
      <c r="F10" s="7"/>
      <c r="G10" s="8"/>
      <c r="H10" s="6"/>
      <c r="J10" s="8"/>
      <c r="K10" s="6"/>
      <c r="L10" s="7"/>
    </row>
    <row r="11" spans="2:12" ht="19.5" customHeight="1">
      <c r="B11" s="74" t="s">
        <v>277</v>
      </c>
      <c r="D11" s="20"/>
      <c r="E11" s="120" t="s">
        <v>259</v>
      </c>
      <c r="F11" s="253">
        <f>SUM(Marketable!P53)-I11</f>
        <v>938407.4950000001</v>
      </c>
      <c r="G11" s="136"/>
      <c r="H11" s="120"/>
      <c r="I11" s="87">
        <v>3835.634</v>
      </c>
      <c r="J11" s="132"/>
      <c r="K11" s="146"/>
      <c r="L11" s="246">
        <f>Marketable!P53</f>
        <v>942243.1290000001</v>
      </c>
    </row>
    <row r="12" spans="2:12" ht="19.5" customHeight="1">
      <c r="B12" s="74" t="s">
        <v>417</v>
      </c>
      <c r="D12" s="20"/>
      <c r="E12" s="193" t="s">
        <v>259</v>
      </c>
      <c r="F12" s="253">
        <f>SUM(Marketable!P152)-I12</f>
        <v>2285419.8</v>
      </c>
      <c r="G12" s="266"/>
      <c r="H12" s="192"/>
      <c r="I12" s="87">
        <v>640.653</v>
      </c>
      <c r="J12" s="266"/>
      <c r="K12" s="146"/>
      <c r="L12" s="246">
        <f>Marketable!P152</f>
        <v>2286060.4529999997</v>
      </c>
    </row>
    <row r="13" spans="2:12" ht="19.5" customHeight="1">
      <c r="B13" s="74" t="s">
        <v>418</v>
      </c>
      <c r="D13" s="20"/>
      <c r="E13" s="193" t="s">
        <v>259</v>
      </c>
      <c r="F13" s="253">
        <f>SUM(Marketable!P205)-I13</f>
        <v>529767.6320000001</v>
      </c>
      <c r="G13" s="266"/>
      <c r="H13" s="192"/>
      <c r="I13" s="87">
        <v>208.556</v>
      </c>
      <c r="J13" s="266"/>
      <c r="K13" s="146"/>
      <c r="L13" s="246">
        <f>+Marketable!P205</f>
        <v>529976.1880000001</v>
      </c>
    </row>
    <row r="14" spans="2:12" ht="19.5" customHeight="1">
      <c r="B14" s="74" t="s">
        <v>1067</v>
      </c>
      <c r="D14" s="20"/>
      <c r="E14" s="120" t="s">
        <v>259</v>
      </c>
      <c r="F14" s="253">
        <f>+Marketable!P225-I14</f>
        <v>305518.88499999995</v>
      </c>
      <c r="G14" s="136"/>
      <c r="H14" s="120"/>
      <c r="I14" s="87">
        <v>105.503</v>
      </c>
      <c r="J14" s="132"/>
      <c r="K14" s="146"/>
      <c r="L14" s="246">
        <f>+Marketable!P225</f>
        <v>305624.388</v>
      </c>
    </row>
    <row r="15" spans="2:12" ht="19.5" customHeight="1">
      <c r="B15" s="74" t="s">
        <v>585</v>
      </c>
      <c r="D15" s="20"/>
      <c r="E15" s="120" t="s">
        <v>259</v>
      </c>
      <c r="F15" s="253">
        <v>0</v>
      </c>
      <c r="G15" s="136"/>
      <c r="H15" s="120"/>
      <c r="I15" s="303">
        <v>14000</v>
      </c>
      <c r="J15" s="132"/>
      <c r="K15" s="146"/>
      <c r="L15" s="246">
        <f>+Marketable!P226</f>
        <v>14000.01</v>
      </c>
    </row>
    <row r="16" spans="1:12" s="59" customFormat="1" ht="21.75" thickBot="1">
      <c r="A16" s="109" t="s">
        <v>278</v>
      </c>
      <c r="D16" s="133"/>
      <c r="E16" s="135" t="s">
        <v>259</v>
      </c>
      <c r="F16" s="254">
        <f>SUM(F11:F15)</f>
        <v>4059113.812</v>
      </c>
      <c r="G16" s="137"/>
      <c r="H16" s="192">
        <v>2</v>
      </c>
      <c r="I16" s="248">
        <f>SUM(I11:I15)</f>
        <v>18790.345999999998</v>
      </c>
      <c r="J16" s="133"/>
      <c r="K16" s="188"/>
      <c r="L16" s="254">
        <f>Marketable!P227</f>
        <v>4077904.1679999996</v>
      </c>
    </row>
    <row r="17" spans="1:12" ht="33.75" customHeight="1" thickTop="1">
      <c r="A17" s="74" t="s">
        <v>265</v>
      </c>
      <c r="D17" s="20"/>
      <c r="E17" s="9"/>
      <c r="F17" s="255"/>
      <c r="G17" s="20"/>
      <c r="H17" s="9"/>
      <c r="I17" s="258"/>
      <c r="J17" s="20"/>
      <c r="K17" s="9"/>
      <c r="L17" s="255"/>
    </row>
    <row r="18" spans="2:12" ht="19.5" customHeight="1">
      <c r="B18" s="74" t="s">
        <v>573</v>
      </c>
      <c r="D18" s="20"/>
      <c r="E18" s="120" t="s">
        <v>259</v>
      </c>
      <c r="F18" s="253">
        <f>Nonmarketable!O15</f>
        <v>29995.179999999997</v>
      </c>
      <c r="G18" s="136"/>
      <c r="H18" s="120"/>
      <c r="I18" s="87">
        <v>0</v>
      </c>
      <c r="J18" s="132"/>
      <c r="K18" s="146"/>
      <c r="L18" s="246">
        <f>Nonmarketable!O15</f>
        <v>29995.179999999997</v>
      </c>
    </row>
    <row r="19" spans="2:12" ht="19.5" customHeight="1">
      <c r="B19" s="74" t="s">
        <v>574</v>
      </c>
      <c r="D19" s="20"/>
      <c r="E19" s="120" t="s">
        <v>259</v>
      </c>
      <c r="F19" s="253">
        <f>Nonmarketable!O19</f>
        <v>2985.6489999999994</v>
      </c>
      <c r="G19" s="136"/>
      <c r="H19" s="120"/>
      <c r="I19" s="87">
        <v>0</v>
      </c>
      <c r="J19" s="132"/>
      <c r="K19" s="146"/>
      <c r="L19" s="246">
        <f>Nonmarketable!O19</f>
        <v>2985.6489999999994</v>
      </c>
    </row>
    <row r="20" spans="2:12" ht="19.5" customHeight="1">
      <c r="B20" s="74" t="s">
        <v>1071</v>
      </c>
      <c r="D20" s="20"/>
      <c r="E20" s="120" t="s">
        <v>259</v>
      </c>
      <c r="F20" s="253">
        <f>SUM(Nonmarketable!O23)</f>
        <v>1.0529999999999973</v>
      </c>
      <c r="G20" s="136"/>
      <c r="H20" s="120"/>
      <c r="I20" s="87">
        <v>0</v>
      </c>
      <c r="J20" s="132"/>
      <c r="K20" s="146"/>
      <c r="L20" s="246">
        <f>Nonmarketable!O23</f>
        <v>1.0529999999999973</v>
      </c>
    </row>
    <row r="21" spans="2:12" ht="19.5" customHeight="1">
      <c r="B21" s="74" t="s">
        <v>1072</v>
      </c>
      <c r="D21" s="20"/>
      <c r="E21" s="120" t="s">
        <v>259</v>
      </c>
      <c r="F21" s="253">
        <f>SUM(Nonmarketable!O34)</f>
        <v>213050.87599999993</v>
      </c>
      <c r="G21" s="136"/>
      <c r="H21" s="120"/>
      <c r="I21" s="87">
        <v>0</v>
      </c>
      <c r="J21" s="132"/>
      <c r="K21" s="146"/>
      <c r="L21" s="246">
        <f>Nonmarketable!O34</f>
        <v>213050.87599999993</v>
      </c>
    </row>
    <row r="22" spans="2:12" ht="19.5" customHeight="1">
      <c r="B22" s="74" t="s">
        <v>1076</v>
      </c>
      <c r="D22" s="20"/>
      <c r="E22" s="120" t="s">
        <v>259</v>
      </c>
      <c r="F22" s="253">
        <f>Nonmarketable!O49</f>
        <v>204143.8508282</v>
      </c>
      <c r="G22" s="136"/>
      <c r="H22" s="120"/>
      <c r="I22" s="87">
        <v>0</v>
      </c>
      <c r="J22" s="132"/>
      <c r="K22" s="146"/>
      <c r="L22" s="246">
        <f>Nonmarketable!O49</f>
        <v>204143.8508282</v>
      </c>
    </row>
    <row r="23" spans="2:12" ht="19.5" customHeight="1">
      <c r="B23" s="74" t="s">
        <v>691</v>
      </c>
      <c r="D23" s="20"/>
      <c r="E23" s="120" t="s">
        <v>259</v>
      </c>
      <c r="F23" s="253">
        <f>GAS!L31</f>
        <v>66379.88630352</v>
      </c>
      <c r="G23" s="136"/>
      <c r="H23" s="193"/>
      <c r="I23" s="87">
        <f>GAS!L205</f>
        <v>3288043.3859006288</v>
      </c>
      <c r="J23" s="132"/>
      <c r="K23" s="146"/>
      <c r="L23" s="246">
        <f>GAS!L206</f>
        <v>3354424.2722041486</v>
      </c>
    </row>
    <row r="24" spans="2:12" ht="19.5" customHeight="1">
      <c r="B24" s="74" t="s">
        <v>692</v>
      </c>
      <c r="D24" s="20"/>
      <c r="E24" s="120" t="s">
        <v>259</v>
      </c>
      <c r="F24" s="256">
        <f>SUM(GAS!L219)</f>
        <v>5113.062468</v>
      </c>
      <c r="G24" s="136"/>
      <c r="H24" s="120"/>
      <c r="I24" s="88">
        <v>0</v>
      </c>
      <c r="J24" s="132"/>
      <c r="K24" s="189"/>
      <c r="L24" s="183">
        <f>GAS!L219</f>
        <v>5113.062468</v>
      </c>
    </row>
    <row r="25" spans="1:12" s="59" customFormat="1" ht="21.75" thickBot="1">
      <c r="A25" s="109" t="s">
        <v>328</v>
      </c>
      <c r="D25" s="133"/>
      <c r="E25" s="135" t="s">
        <v>259</v>
      </c>
      <c r="F25" s="254">
        <f>SUM(F18:F24)</f>
        <v>521669.5575997199</v>
      </c>
      <c r="G25" s="137"/>
      <c r="H25" s="134"/>
      <c r="I25" s="177">
        <f>SUM(I18:I24)</f>
        <v>3288043.3859006288</v>
      </c>
      <c r="J25" s="133"/>
      <c r="K25" s="188"/>
      <c r="L25" s="254">
        <f>GAS!L220</f>
        <v>3809712.943500349</v>
      </c>
    </row>
    <row r="26" spans="1:13" s="59" customFormat="1" ht="36.75" customHeight="1" thickTop="1">
      <c r="A26" s="195" t="s">
        <v>1066</v>
      </c>
      <c r="B26" s="196"/>
      <c r="C26" s="196"/>
      <c r="D26" s="197"/>
      <c r="E26" s="270" t="s">
        <v>259</v>
      </c>
      <c r="F26" s="257">
        <f>F16+F25+1</f>
        <v>4580784.3695997195</v>
      </c>
      <c r="G26" s="138"/>
      <c r="H26" s="269"/>
      <c r="I26" s="257">
        <f>+I16+I25</f>
        <v>3306833.7319006287</v>
      </c>
      <c r="J26" s="304"/>
      <c r="K26" s="145"/>
      <c r="L26" s="257">
        <f>GAS!L221</f>
        <v>7887618.111500349</v>
      </c>
      <c r="M26" s="305"/>
    </row>
    <row r="27" spans="1:13" ht="46.5" customHeight="1">
      <c r="A27" s="367" t="s">
        <v>79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</row>
    <row r="28" spans="1:13" ht="37.5" customHeight="1">
      <c r="A28" s="139"/>
      <c r="B28" s="139"/>
      <c r="C28" s="139"/>
      <c r="D28" s="139"/>
      <c r="E28" s="384" t="s">
        <v>67</v>
      </c>
      <c r="F28" s="385"/>
      <c r="G28" s="385"/>
      <c r="H28" s="389"/>
      <c r="I28" s="389"/>
      <c r="J28" s="390"/>
      <c r="K28" s="178"/>
      <c r="L28" s="178"/>
      <c r="M28" s="90"/>
    </row>
    <row r="29" spans="1:13" ht="20.25">
      <c r="A29" s="394"/>
      <c r="B29" s="394"/>
      <c r="C29" s="394"/>
      <c r="D29" s="383"/>
      <c r="E29" s="379" t="s">
        <v>70</v>
      </c>
      <c r="F29" s="382"/>
      <c r="G29" s="383"/>
      <c r="H29" s="379" t="s">
        <v>68</v>
      </c>
      <c r="I29" s="382"/>
      <c r="J29" s="383"/>
      <c r="K29" s="379" t="s">
        <v>64</v>
      </c>
      <c r="L29" s="388"/>
      <c r="M29" s="388"/>
    </row>
    <row r="30" spans="1:13" ht="20.25">
      <c r="A30" s="152"/>
      <c r="B30" s="152"/>
      <c r="C30" s="152"/>
      <c r="D30" s="153"/>
      <c r="E30" s="384" t="s">
        <v>922</v>
      </c>
      <c r="F30" s="385"/>
      <c r="G30" s="386"/>
      <c r="H30" s="384" t="s">
        <v>69</v>
      </c>
      <c r="I30" s="385"/>
      <c r="J30" s="386"/>
      <c r="K30" s="143"/>
      <c r="L30" s="143"/>
      <c r="M30" s="214"/>
    </row>
    <row r="31" spans="1:13" ht="18">
      <c r="A31" s="74" t="s">
        <v>30</v>
      </c>
      <c r="B31" s="74"/>
      <c r="C31" s="74"/>
      <c r="D31" s="90"/>
      <c r="E31" s="179"/>
      <c r="F31" s="75"/>
      <c r="G31" s="180"/>
      <c r="H31" s="155"/>
      <c r="I31" s="155"/>
      <c r="J31" s="180"/>
      <c r="K31" s="62"/>
      <c r="L31" s="62"/>
      <c r="M31" s="62"/>
    </row>
    <row r="32" spans="1:13" ht="19.5" customHeight="1">
      <c r="A32" s="74"/>
      <c r="B32" s="74" t="s">
        <v>329</v>
      </c>
      <c r="C32" s="74"/>
      <c r="D32" s="90"/>
      <c r="E32" s="154" t="s">
        <v>259</v>
      </c>
      <c r="F32" s="245">
        <f>+F26</f>
        <v>4580784.3695997195</v>
      </c>
      <c r="G32" s="156"/>
      <c r="H32" s="155"/>
      <c r="I32" s="245">
        <f>+I26</f>
        <v>3306833.7319006287</v>
      </c>
      <c r="J32" s="156"/>
      <c r="K32" s="147"/>
      <c r="L32" s="148">
        <f>+L26</f>
        <v>7887618.111500349</v>
      </c>
      <c r="M32" s="62"/>
    </row>
    <row r="33" spans="1:13" ht="19.5" customHeight="1">
      <c r="A33" s="74"/>
      <c r="B33" s="74" t="s">
        <v>66</v>
      </c>
      <c r="C33" s="74"/>
      <c r="D33" s="90"/>
      <c r="E33" s="154"/>
      <c r="F33" s="246"/>
      <c r="G33" s="156"/>
      <c r="H33" s="155"/>
      <c r="I33" s="246"/>
      <c r="J33" s="156"/>
      <c r="K33" s="74"/>
      <c r="L33" s="148"/>
      <c r="M33" s="62"/>
    </row>
    <row r="34" spans="1:13" ht="19.5" customHeight="1">
      <c r="A34" s="74"/>
      <c r="B34" s="74"/>
      <c r="C34" s="74" t="s">
        <v>459</v>
      </c>
      <c r="D34" s="90"/>
      <c r="E34" s="154" t="s">
        <v>259</v>
      </c>
      <c r="F34" s="246">
        <f>+GAS!L213</f>
        <v>509.775298</v>
      </c>
      <c r="G34" s="156"/>
      <c r="H34" s="155"/>
      <c r="I34" s="87">
        <v>0</v>
      </c>
      <c r="J34" s="156"/>
      <c r="K34" s="148"/>
      <c r="L34" s="148">
        <f>SUM(GAS!L213)</f>
        <v>509.775298</v>
      </c>
      <c r="M34" s="62"/>
    </row>
    <row r="35" spans="1:13" ht="19.5" customHeight="1">
      <c r="A35" s="74"/>
      <c r="B35" s="74"/>
      <c r="C35" s="74" t="s">
        <v>269</v>
      </c>
      <c r="D35" s="90"/>
      <c r="E35" s="154" t="s">
        <v>259</v>
      </c>
      <c r="F35" s="246">
        <f>44205.448102-I35</f>
        <v>30097.019522000002</v>
      </c>
      <c r="G35" s="156"/>
      <c r="H35" s="155"/>
      <c r="I35" s="246">
        <v>14108.42858</v>
      </c>
      <c r="J35" s="156"/>
      <c r="K35" s="157"/>
      <c r="L35" s="249">
        <f>F35+I35</f>
        <v>44205.448102</v>
      </c>
      <c r="M35" s="62"/>
    </row>
    <row r="36" spans="3:12" ht="19.5" customHeight="1">
      <c r="C36" s="74" t="s">
        <v>586</v>
      </c>
      <c r="D36" s="20"/>
      <c r="E36" s="154" t="s">
        <v>259</v>
      </c>
      <c r="F36" s="253">
        <v>0</v>
      </c>
      <c r="G36" s="136"/>
      <c r="H36" s="120"/>
      <c r="I36" s="303">
        <v>14000.01</v>
      </c>
      <c r="J36" s="132"/>
      <c r="K36" s="146"/>
      <c r="L36" s="249">
        <f>F36+I36</f>
        <v>14000.01</v>
      </c>
    </row>
    <row r="37" spans="1:13" ht="19.5" customHeight="1" thickBot="1">
      <c r="A37" s="74"/>
      <c r="B37" s="74" t="s">
        <v>1151</v>
      </c>
      <c r="C37" s="74"/>
      <c r="D37" s="90"/>
      <c r="E37" s="154" t="s">
        <v>259</v>
      </c>
      <c r="F37" s="247">
        <f>+F32-F34-F35-F36-1</f>
        <v>4550176.574779719</v>
      </c>
      <c r="G37" s="156"/>
      <c r="H37" s="155"/>
      <c r="I37" s="247">
        <f>+I32-I34-I36-I35</f>
        <v>3278725.293320629</v>
      </c>
      <c r="J37" s="156"/>
      <c r="K37" s="185"/>
      <c r="L37" s="250">
        <f>SUM(L32-L34-L36-L35)-1</f>
        <v>7828901.878100349</v>
      </c>
      <c r="M37" s="62"/>
    </row>
    <row r="38" spans="1:13" ht="36.75" customHeight="1" thickTop="1">
      <c r="A38" s="74"/>
      <c r="B38" s="74" t="s">
        <v>65</v>
      </c>
      <c r="C38" s="74"/>
      <c r="D38" s="90"/>
      <c r="E38" s="154"/>
      <c r="F38" s="246"/>
      <c r="G38" s="156"/>
      <c r="H38" s="155"/>
      <c r="I38" s="246"/>
      <c r="J38" s="156"/>
      <c r="K38" s="155"/>
      <c r="L38" s="211"/>
      <c r="M38" s="62"/>
    </row>
    <row r="39" spans="1:13" ht="21" customHeight="1" thickBot="1">
      <c r="A39" s="74"/>
      <c r="B39" s="74"/>
      <c r="C39" s="74" t="s">
        <v>270</v>
      </c>
      <c r="D39" s="90"/>
      <c r="E39" s="154" t="s">
        <v>259</v>
      </c>
      <c r="F39" s="181">
        <v>127.12244487</v>
      </c>
      <c r="G39" s="156"/>
      <c r="H39" s="155"/>
      <c r="I39" s="181">
        <v>0</v>
      </c>
      <c r="J39" s="156"/>
      <c r="K39" s="186"/>
      <c r="L39" s="150">
        <f>SUM(F39,I39)</f>
        <v>127.12244487</v>
      </c>
      <c r="M39" s="62"/>
    </row>
    <row r="40" spans="1:13" ht="39.75" customHeight="1" thickBot="1" thickTop="1">
      <c r="A40" s="139"/>
      <c r="B40" s="144" t="s">
        <v>1151</v>
      </c>
      <c r="C40" s="139"/>
      <c r="D40" s="152"/>
      <c r="E40" s="154" t="s">
        <v>259</v>
      </c>
      <c r="F40" s="248">
        <f>+F37+F39</f>
        <v>4550303.697224589</v>
      </c>
      <c r="G40" s="156"/>
      <c r="H40" s="155"/>
      <c r="I40" s="248">
        <f>+I37+I39</f>
        <v>3278725.293320629</v>
      </c>
      <c r="J40" s="156"/>
      <c r="K40" s="187"/>
      <c r="L40" s="251">
        <f>SUM(L37+L39)</f>
        <v>7829029.000545219</v>
      </c>
      <c r="M40" s="62"/>
    </row>
    <row r="41" spans="1:13" ht="22.5" thickBot="1" thickTop="1">
      <c r="A41" s="62"/>
      <c r="B41" s="74" t="s">
        <v>0</v>
      </c>
      <c r="C41" s="62"/>
      <c r="D41" s="62"/>
      <c r="E41" s="62"/>
      <c r="F41" s="62"/>
      <c r="G41" s="62"/>
      <c r="H41" s="62"/>
      <c r="I41" s="62"/>
      <c r="J41" s="62"/>
      <c r="K41" s="190" t="s">
        <v>259</v>
      </c>
      <c r="L41" s="252">
        <v>8184000</v>
      </c>
      <c r="M41" s="62"/>
    </row>
    <row r="42" spans="1:13" ht="18.75" thickTop="1">
      <c r="A42" s="214"/>
      <c r="B42" s="151" t="s">
        <v>323</v>
      </c>
      <c r="C42" s="214"/>
      <c r="D42" s="214"/>
      <c r="E42" s="214"/>
      <c r="F42" s="214"/>
      <c r="G42" s="214"/>
      <c r="H42" s="214"/>
      <c r="I42" s="214"/>
      <c r="J42" s="214"/>
      <c r="K42" s="191" t="s">
        <v>259</v>
      </c>
      <c r="L42" s="149">
        <f>SUM(L41-L40)</f>
        <v>354970.9994547814</v>
      </c>
      <c r="M42" s="214"/>
    </row>
    <row r="43" spans="1:13" ht="146.25" customHeight="1">
      <c r="A43" s="387" t="s">
        <v>419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</row>
    <row r="44" spans="1:13" ht="26.25" customHeight="1">
      <c r="A44" s="387" t="s">
        <v>420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</row>
    <row r="45" spans="1:13" ht="45.75" customHeight="1">
      <c r="A45" s="391" t="s">
        <v>1019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</row>
    <row r="46" spans="1:13" ht="18">
      <c r="A46" s="392" t="s">
        <v>1020</v>
      </c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</row>
  </sheetData>
  <mergeCells count="25">
    <mergeCell ref="A45:M45"/>
    <mergeCell ref="A46:M46"/>
    <mergeCell ref="A5:M5"/>
    <mergeCell ref="E8:G8"/>
    <mergeCell ref="E9:G9"/>
    <mergeCell ref="A8:D8"/>
    <mergeCell ref="A29:D29"/>
    <mergeCell ref="H29:J29"/>
    <mergeCell ref="E30:G30"/>
    <mergeCell ref="H30:J30"/>
    <mergeCell ref="A44:M44"/>
    <mergeCell ref="K29:M29"/>
    <mergeCell ref="A43:M43"/>
    <mergeCell ref="E28:J28"/>
    <mergeCell ref="E29:G29"/>
    <mergeCell ref="E7:J7"/>
    <mergeCell ref="K8:M8"/>
    <mergeCell ref="A27:M27"/>
    <mergeCell ref="H8:J8"/>
    <mergeCell ref="H9:J9"/>
    <mergeCell ref="A6:M6"/>
    <mergeCell ref="A1:M1"/>
    <mergeCell ref="A2:M2"/>
    <mergeCell ref="A3:M3"/>
    <mergeCell ref="A4:M4"/>
  </mergeCells>
  <printOptions horizontalCentered="1" verticalCentered="1"/>
  <pageMargins left="0.25" right="0.25" top="0.4" bottom="0.3" header="0" footer="0"/>
  <pageSetup horizontalDpi="600" verticalDpi="600" orientation="portrait" scale="58" r:id="rId2"/>
  <rowBreaks count="1" manualBreakCount="1">
    <brk id="46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233"/>
  <sheetViews>
    <sheetView showGridLines="0" view="pageBreakPreview" zoomScale="75" zoomScaleNormal="75" zoomScaleSheetLayoutView="75" workbookViewId="0" topLeftCell="A1">
      <selection activeCell="C5" sqref="C5"/>
    </sheetView>
  </sheetViews>
  <sheetFormatPr defaultColWidth="9.77734375" defaultRowHeight="15"/>
  <cols>
    <col min="1" max="2" width="2.77734375" style="0" customWidth="1"/>
    <col min="3" max="3" width="12.77734375" style="0" customWidth="1"/>
    <col min="4" max="4" width="7.77734375" style="0" customWidth="1"/>
    <col min="5" max="5" width="8.77734375" style="0" customWidth="1"/>
    <col min="6" max="6" width="4.21484375" style="0" customWidth="1"/>
    <col min="7" max="7" width="11.77734375" style="0" customWidth="1"/>
    <col min="8" max="8" width="10.77734375" style="0" customWidth="1"/>
    <col min="9" max="9" width="9.99609375" style="0" customWidth="1"/>
    <col min="10" max="10" width="2.88671875" style="0" customWidth="1"/>
    <col min="11" max="11" width="11.77734375" style="39" customWidth="1"/>
    <col min="12" max="12" width="12.88671875" style="0" customWidth="1"/>
    <col min="13" max="13" width="5.5546875" style="0" customWidth="1"/>
    <col min="14" max="14" width="14.77734375" style="0" customWidth="1"/>
    <col min="15" max="15" width="6.77734375" style="0" customWidth="1"/>
    <col min="16" max="16" width="12.88671875" style="0" customWidth="1"/>
    <col min="17" max="17" width="5.5546875" style="0" customWidth="1"/>
  </cols>
  <sheetData>
    <row r="1" spans="1:17" s="319" customFormat="1" ht="27.75" customHeight="1" thickBot="1">
      <c r="A1" s="320">
        <v>2</v>
      </c>
      <c r="B1" s="321" t="s">
        <v>80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3"/>
    </row>
    <row r="2" spans="3:17" ht="30.75" customHeight="1" thickTop="1">
      <c r="C2" s="69"/>
      <c r="G2" s="11" t="s">
        <v>1021</v>
      </c>
      <c r="H2" s="11" t="s">
        <v>300</v>
      </c>
      <c r="I2" s="11" t="s">
        <v>299</v>
      </c>
      <c r="J2" s="23"/>
      <c r="K2" s="25" t="s">
        <v>1022</v>
      </c>
      <c r="L2" s="11" t="s">
        <v>296</v>
      </c>
      <c r="M2" s="2"/>
      <c r="N2" s="2"/>
      <c r="O2" s="2"/>
      <c r="P2" s="2"/>
      <c r="Q2" s="2"/>
    </row>
    <row r="3" spans="1:12" ht="15.75" customHeight="1">
      <c r="A3" s="2" t="s">
        <v>297</v>
      </c>
      <c r="B3" s="2"/>
      <c r="C3" s="2"/>
      <c r="D3" s="2"/>
      <c r="E3" s="2"/>
      <c r="F3" s="2"/>
      <c r="G3" s="25" t="s">
        <v>298</v>
      </c>
      <c r="H3" s="25"/>
      <c r="I3" s="395"/>
      <c r="J3" s="396"/>
      <c r="K3" s="25" t="s">
        <v>300</v>
      </c>
      <c r="L3" s="9"/>
    </row>
    <row r="4" spans="1:17" ht="16.5" customHeight="1">
      <c r="A4" s="10"/>
      <c r="B4" s="10"/>
      <c r="C4" s="10"/>
      <c r="D4" s="10"/>
      <c r="E4" s="10"/>
      <c r="F4" s="10"/>
      <c r="G4" s="26"/>
      <c r="H4" s="26"/>
      <c r="I4" s="26"/>
      <c r="J4" s="27"/>
      <c r="K4" s="47"/>
      <c r="L4" s="28" t="s">
        <v>301</v>
      </c>
      <c r="M4" s="29"/>
      <c r="N4" s="28" t="s">
        <v>280</v>
      </c>
      <c r="O4" s="29"/>
      <c r="P4" s="28" t="s">
        <v>262</v>
      </c>
      <c r="Q4" s="29"/>
    </row>
    <row r="5" spans="1:17" ht="33.75" customHeight="1">
      <c r="A5" s="18" t="s">
        <v>263</v>
      </c>
      <c r="B5" s="18"/>
      <c r="C5" s="17"/>
      <c r="G5" s="13"/>
      <c r="H5" s="13"/>
      <c r="I5" s="13"/>
      <c r="J5" s="30"/>
      <c r="K5" s="52"/>
      <c r="L5" s="31"/>
      <c r="M5" s="16"/>
      <c r="N5" s="9"/>
      <c r="P5" s="31"/>
      <c r="Q5" s="32"/>
    </row>
    <row r="6" spans="2:17" ht="19.5">
      <c r="B6" s="5" t="s">
        <v>282</v>
      </c>
      <c r="F6" s="110" t="s">
        <v>1</v>
      </c>
      <c r="G6" s="13"/>
      <c r="H6" s="13"/>
      <c r="I6" s="13"/>
      <c r="J6" s="30"/>
      <c r="K6" s="52"/>
      <c r="L6" s="9"/>
      <c r="N6" s="9"/>
      <c r="P6" s="38"/>
      <c r="Q6" s="16"/>
    </row>
    <row r="7" spans="2:17" ht="17.25" customHeight="1">
      <c r="B7" s="5" t="s">
        <v>283</v>
      </c>
      <c r="E7" s="5" t="s">
        <v>284</v>
      </c>
      <c r="F7" s="5"/>
      <c r="G7" s="13"/>
      <c r="H7" s="13"/>
      <c r="I7" s="13"/>
      <c r="J7" s="30"/>
      <c r="K7" s="52"/>
      <c r="L7" s="9"/>
      <c r="N7" s="9"/>
      <c r="P7" s="38"/>
      <c r="Q7" s="16"/>
    </row>
    <row r="8" spans="3:17" ht="15" customHeight="1">
      <c r="C8" s="5" t="s">
        <v>967</v>
      </c>
      <c r="D8" s="35"/>
      <c r="E8" s="92">
        <v>2.71</v>
      </c>
      <c r="F8" s="48"/>
      <c r="G8" s="41">
        <v>38386</v>
      </c>
      <c r="H8" s="91">
        <v>38568</v>
      </c>
      <c r="I8" s="91"/>
      <c r="J8" s="267"/>
      <c r="K8" s="37">
        <v>38568</v>
      </c>
      <c r="L8" s="31">
        <v>23203.915</v>
      </c>
      <c r="M8" s="16"/>
      <c r="N8" s="40">
        <v>0</v>
      </c>
      <c r="O8" s="21"/>
      <c r="P8" s="31">
        <f>L8+L9+L10</f>
        <v>61235.893</v>
      </c>
      <c r="Q8" s="16"/>
    </row>
    <row r="9" spans="3:17" ht="15" customHeight="1">
      <c r="C9" s="5"/>
      <c r="D9" s="35"/>
      <c r="E9" s="92">
        <v>2.87</v>
      </c>
      <c r="F9" s="48"/>
      <c r="G9" s="41">
        <v>38477</v>
      </c>
      <c r="H9" s="91"/>
      <c r="I9" s="91"/>
      <c r="J9" s="267"/>
      <c r="K9" s="37"/>
      <c r="L9" s="31">
        <v>21647.413</v>
      </c>
      <c r="M9" s="16"/>
      <c r="N9" s="40"/>
      <c r="O9" s="21"/>
      <c r="P9" s="31"/>
      <c r="Q9" s="16"/>
    </row>
    <row r="10" spans="3:17" ht="15" customHeight="1">
      <c r="C10" s="5"/>
      <c r="D10" s="35"/>
      <c r="E10" s="92">
        <v>3</v>
      </c>
      <c r="F10" s="48"/>
      <c r="G10" s="41">
        <v>38540</v>
      </c>
      <c r="H10" s="91"/>
      <c r="I10" s="91"/>
      <c r="J10" s="267"/>
      <c r="K10" s="37"/>
      <c r="L10" s="31">
        <v>16384.565</v>
      </c>
      <c r="M10" s="16"/>
      <c r="N10" s="40"/>
      <c r="O10" s="21"/>
      <c r="P10" s="31"/>
      <c r="Q10" s="16"/>
    </row>
    <row r="11" spans="3:17" ht="15" customHeight="1">
      <c r="C11" s="5" t="s">
        <v>510</v>
      </c>
      <c r="D11" s="35"/>
      <c r="E11" s="92">
        <v>2.71</v>
      </c>
      <c r="F11" s="48"/>
      <c r="G11" s="41">
        <v>38393</v>
      </c>
      <c r="H11" s="91">
        <v>38575</v>
      </c>
      <c r="I11" s="91"/>
      <c r="J11" s="267"/>
      <c r="K11" s="37">
        <v>38575</v>
      </c>
      <c r="L11" s="31">
        <v>23193.489</v>
      </c>
      <c r="M11" s="16"/>
      <c r="N11" s="40">
        <v>0</v>
      </c>
      <c r="O11" s="21"/>
      <c r="P11" s="31">
        <f>L11+L12+L13</f>
        <v>63429.030000000006</v>
      </c>
      <c r="Q11" s="16"/>
    </row>
    <row r="12" spans="3:17" ht="15" customHeight="1">
      <c r="C12" s="5"/>
      <c r="D12" s="35"/>
      <c r="E12" s="92">
        <v>2.85</v>
      </c>
      <c r="F12" s="48"/>
      <c r="G12" s="41">
        <v>38484</v>
      </c>
      <c r="H12" s="91"/>
      <c r="I12" s="91"/>
      <c r="J12" s="267"/>
      <c r="K12" s="37"/>
      <c r="L12" s="31">
        <v>21779.054</v>
      </c>
      <c r="M12" s="16"/>
      <c r="N12" s="40"/>
      <c r="O12" s="21"/>
      <c r="P12" s="31"/>
      <c r="Q12" s="16"/>
    </row>
    <row r="13" spans="3:17" ht="15" customHeight="1">
      <c r="C13" s="5"/>
      <c r="D13" s="35"/>
      <c r="E13" s="92">
        <v>2.96</v>
      </c>
      <c r="F13" s="48"/>
      <c r="G13" s="41">
        <v>38547</v>
      </c>
      <c r="H13" s="91"/>
      <c r="I13" s="91"/>
      <c r="J13" s="267"/>
      <c r="K13" s="37"/>
      <c r="L13" s="31">
        <v>18456.487</v>
      </c>
      <c r="M13" s="16"/>
      <c r="N13" s="40"/>
      <c r="O13" s="21"/>
      <c r="P13" s="31"/>
      <c r="Q13" s="16"/>
    </row>
    <row r="14" spans="3:17" ht="15" customHeight="1">
      <c r="C14" s="5" t="s">
        <v>968</v>
      </c>
      <c r="D14" s="35"/>
      <c r="E14" s="92">
        <v>2.76</v>
      </c>
      <c r="F14" s="48"/>
      <c r="G14" s="41">
        <v>38400</v>
      </c>
      <c r="H14" s="91">
        <v>38582</v>
      </c>
      <c r="I14" s="91"/>
      <c r="J14" s="267"/>
      <c r="K14" s="37">
        <v>38582</v>
      </c>
      <c r="L14" s="31">
        <v>23209.388</v>
      </c>
      <c r="M14" s="16"/>
      <c r="N14" s="40">
        <v>0</v>
      </c>
      <c r="O14" s="21"/>
      <c r="P14" s="31">
        <f>L14+L15+L16</f>
        <v>63526.929000000004</v>
      </c>
      <c r="Q14" s="16"/>
    </row>
    <row r="15" spans="3:17" ht="15" customHeight="1">
      <c r="C15" s="5"/>
      <c r="D15" s="35"/>
      <c r="E15" s="92">
        <v>2.8</v>
      </c>
      <c r="F15" s="48"/>
      <c r="G15" s="41">
        <v>38491</v>
      </c>
      <c r="H15" s="91"/>
      <c r="I15" s="91"/>
      <c r="J15" s="267"/>
      <c r="K15" s="37"/>
      <c r="L15" s="31">
        <v>22869.716</v>
      </c>
      <c r="M15" s="16"/>
      <c r="N15" s="40"/>
      <c r="O15" s="21"/>
      <c r="P15" s="31"/>
      <c r="Q15" s="16"/>
    </row>
    <row r="16" spans="3:17" ht="15" customHeight="1">
      <c r="C16" s="5"/>
      <c r="D16" s="35"/>
      <c r="E16" s="92">
        <v>3.065</v>
      </c>
      <c r="F16" s="48"/>
      <c r="G16" s="41">
        <v>38554</v>
      </c>
      <c r="H16" s="91"/>
      <c r="I16" s="91"/>
      <c r="J16" s="267"/>
      <c r="K16" s="37"/>
      <c r="L16" s="31">
        <v>17447.825</v>
      </c>
      <c r="M16" s="16"/>
      <c r="N16" s="40"/>
      <c r="O16" s="21"/>
      <c r="P16" s="31"/>
      <c r="Q16" s="16"/>
    </row>
    <row r="17" spans="3:17" ht="15" customHeight="1">
      <c r="C17" s="5" t="s">
        <v>969</v>
      </c>
      <c r="D17" s="35"/>
      <c r="E17" s="92">
        <v>2.85</v>
      </c>
      <c r="F17" s="48"/>
      <c r="G17" s="41">
        <v>38407</v>
      </c>
      <c r="H17" s="91">
        <v>38589</v>
      </c>
      <c r="I17" s="91"/>
      <c r="J17" s="267"/>
      <c r="K17" s="37">
        <v>38589</v>
      </c>
      <c r="L17" s="31">
        <v>24230.129</v>
      </c>
      <c r="M17" s="16"/>
      <c r="N17" s="40">
        <v>0</v>
      </c>
      <c r="O17" s="21"/>
      <c r="P17" s="31">
        <f>L17+L18+L19</f>
        <v>64755.898</v>
      </c>
      <c r="Q17" s="16"/>
    </row>
    <row r="18" spans="3:17" ht="15" customHeight="1">
      <c r="C18" s="5"/>
      <c r="D18" s="35"/>
      <c r="E18" s="92">
        <v>2.895</v>
      </c>
      <c r="F18" s="48"/>
      <c r="G18" s="41">
        <v>38498</v>
      </c>
      <c r="H18" s="91"/>
      <c r="I18" s="91"/>
      <c r="J18" s="267"/>
      <c r="K18" s="37"/>
      <c r="L18" s="31">
        <v>24304.699</v>
      </c>
      <c r="M18" s="16"/>
      <c r="N18" s="40"/>
      <c r="O18" s="21"/>
      <c r="P18" s="31"/>
      <c r="Q18" s="16"/>
    </row>
    <row r="19" spans="3:17" ht="15" customHeight="1">
      <c r="C19" s="5"/>
      <c r="D19" s="35"/>
      <c r="E19" s="92">
        <v>3.19</v>
      </c>
      <c r="F19" s="48"/>
      <c r="G19" s="41">
        <v>38561</v>
      </c>
      <c r="H19" s="91"/>
      <c r="I19" s="91"/>
      <c r="J19" s="267"/>
      <c r="K19" s="37"/>
      <c r="L19" s="31">
        <v>16221.07</v>
      </c>
      <c r="M19" s="16"/>
      <c r="N19" s="40"/>
      <c r="O19" s="21"/>
      <c r="P19" s="31"/>
      <c r="Q19" s="16"/>
    </row>
    <row r="20" spans="3:17" ht="15" customHeight="1">
      <c r="C20" s="5" t="s">
        <v>13</v>
      </c>
      <c r="D20" s="35"/>
      <c r="E20" s="92">
        <v>2.925</v>
      </c>
      <c r="F20" s="48"/>
      <c r="G20" s="41">
        <v>38414</v>
      </c>
      <c r="H20" s="91">
        <v>38596</v>
      </c>
      <c r="I20" s="91"/>
      <c r="J20" s="267"/>
      <c r="K20" s="37">
        <v>38596</v>
      </c>
      <c r="L20" s="31">
        <v>24253.995</v>
      </c>
      <c r="M20" s="16"/>
      <c r="N20" s="40">
        <v>0</v>
      </c>
      <c r="O20" s="21"/>
      <c r="P20" s="31">
        <f>L20+L21</f>
        <v>48989.778</v>
      </c>
      <c r="Q20" s="16"/>
    </row>
    <row r="21" spans="3:17" ht="15" customHeight="1">
      <c r="C21" s="5"/>
      <c r="D21" s="35"/>
      <c r="E21" s="92">
        <v>2.935</v>
      </c>
      <c r="F21" s="48"/>
      <c r="G21" s="41">
        <v>38505</v>
      </c>
      <c r="H21" s="91"/>
      <c r="I21" s="91"/>
      <c r="J21" s="267"/>
      <c r="K21" s="37"/>
      <c r="L21" s="31">
        <v>24735.783</v>
      </c>
      <c r="M21" s="16"/>
      <c r="N21" s="40"/>
      <c r="O21" s="21"/>
      <c r="P21" s="31"/>
      <c r="Q21" s="16"/>
    </row>
    <row r="22" spans="3:17" ht="15" customHeight="1">
      <c r="C22" s="5" t="s">
        <v>12</v>
      </c>
      <c r="D22" s="35"/>
      <c r="E22" s="92">
        <v>2.935</v>
      </c>
      <c r="F22" s="48"/>
      <c r="G22" s="41">
        <v>38421</v>
      </c>
      <c r="H22" s="91">
        <v>38603</v>
      </c>
      <c r="I22" s="91"/>
      <c r="J22" s="267"/>
      <c r="K22" s="37">
        <v>38603</v>
      </c>
      <c r="L22" s="31">
        <v>24367.941</v>
      </c>
      <c r="M22" s="16"/>
      <c r="N22" s="40">
        <v>0</v>
      </c>
      <c r="O22" s="21"/>
      <c r="P22" s="31">
        <f>L22+L23</f>
        <v>49429.755</v>
      </c>
      <c r="Q22" s="16"/>
    </row>
    <row r="23" spans="3:17" ht="15" customHeight="1">
      <c r="C23" s="5"/>
      <c r="D23" s="35"/>
      <c r="E23" s="92">
        <v>2.965</v>
      </c>
      <c r="F23" s="48"/>
      <c r="G23" s="41">
        <v>38512</v>
      </c>
      <c r="H23" s="91"/>
      <c r="I23" s="91"/>
      <c r="J23" s="267"/>
      <c r="K23" s="37"/>
      <c r="L23" s="31">
        <v>25061.814</v>
      </c>
      <c r="M23" s="16"/>
      <c r="N23" s="40"/>
      <c r="O23" s="21"/>
      <c r="P23" s="31"/>
      <c r="Q23" s="16"/>
    </row>
    <row r="24" spans="3:17" ht="15" customHeight="1">
      <c r="C24" s="5" t="s">
        <v>11</v>
      </c>
      <c r="D24" s="35"/>
      <c r="E24" s="92">
        <v>3</v>
      </c>
      <c r="F24" s="48"/>
      <c r="G24" s="41">
        <v>38428</v>
      </c>
      <c r="H24" s="91">
        <v>38610</v>
      </c>
      <c r="I24" s="91"/>
      <c r="J24" s="267"/>
      <c r="K24" s="37">
        <v>38610</v>
      </c>
      <c r="L24" s="31">
        <v>24208.596</v>
      </c>
      <c r="M24" s="16"/>
      <c r="N24" s="40">
        <v>0</v>
      </c>
      <c r="O24" s="21"/>
      <c r="P24" s="31">
        <f>L24+L25</f>
        <v>49179.005000000005</v>
      </c>
      <c r="Q24" s="16"/>
    </row>
    <row r="25" spans="3:17" ht="15" customHeight="1">
      <c r="C25" s="5"/>
      <c r="D25" s="35"/>
      <c r="E25" s="92">
        <v>2.975</v>
      </c>
      <c r="F25" s="48"/>
      <c r="G25" s="41">
        <v>38519</v>
      </c>
      <c r="H25" s="91"/>
      <c r="I25" s="91"/>
      <c r="J25" s="267"/>
      <c r="K25" s="37"/>
      <c r="L25" s="31">
        <v>24970.409</v>
      </c>
      <c r="M25" s="16"/>
      <c r="N25" s="40"/>
      <c r="O25" s="21"/>
      <c r="P25" s="31"/>
      <c r="Q25" s="16"/>
    </row>
    <row r="26" spans="3:17" ht="15" customHeight="1">
      <c r="C26" s="5" t="s">
        <v>10</v>
      </c>
      <c r="D26" s="35"/>
      <c r="E26" s="92">
        <v>3.035</v>
      </c>
      <c r="F26" s="48"/>
      <c r="G26" s="41">
        <v>38435</v>
      </c>
      <c r="H26" s="91">
        <v>38617</v>
      </c>
      <c r="I26" s="91"/>
      <c r="J26" s="267"/>
      <c r="K26" s="37">
        <v>38617</v>
      </c>
      <c r="L26" s="31">
        <v>24278.324</v>
      </c>
      <c r="M26" s="16"/>
      <c r="N26" s="40">
        <v>0</v>
      </c>
      <c r="O26" s="21"/>
      <c r="P26" s="31">
        <f>L26+L27</f>
        <v>48226.723</v>
      </c>
      <c r="Q26" s="16"/>
    </row>
    <row r="27" spans="3:17" ht="15" customHeight="1">
      <c r="C27" s="5"/>
      <c r="D27" s="35"/>
      <c r="E27" s="92">
        <v>2.965</v>
      </c>
      <c r="F27" s="48"/>
      <c r="G27" s="41">
        <v>38526</v>
      </c>
      <c r="H27" s="91"/>
      <c r="I27" s="91"/>
      <c r="J27" s="267"/>
      <c r="K27" s="37"/>
      <c r="L27" s="31">
        <v>23948.399</v>
      </c>
      <c r="M27" s="16"/>
      <c r="N27" s="40"/>
      <c r="O27" s="21"/>
      <c r="P27" s="31"/>
      <c r="Q27" s="16"/>
    </row>
    <row r="28" spans="3:17" ht="15" customHeight="1">
      <c r="C28" s="5" t="s">
        <v>9</v>
      </c>
      <c r="D28" s="35"/>
      <c r="E28" s="92">
        <v>3.09</v>
      </c>
      <c r="F28" s="48"/>
      <c r="G28" s="41">
        <v>38442</v>
      </c>
      <c r="H28" s="91">
        <v>38624</v>
      </c>
      <c r="I28" s="91"/>
      <c r="J28" s="267"/>
      <c r="K28" s="37">
        <v>38624</v>
      </c>
      <c r="L28" s="31">
        <v>23019.488</v>
      </c>
      <c r="M28" s="16"/>
      <c r="N28" s="40">
        <v>0</v>
      </c>
      <c r="O28" s="21"/>
      <c r="P28" s="31">
        <f>L28+L29</f>
        <v>46638.793000000005</v>
      </c>
      <c r="Q28" s="16"/>
    </row>
    <row r="29" spans="3:17" ht="15" customHeight="1">
      <c r="C29" s="5"/>
      <c r="D29" s="35"/>
      <c r="E29" s="92">
        <v>3.08</v>
      </c>
      <c r="F29" s="48"/>
      <c r="G29" s="41">
        <v>38533</v>
      </c>
      <c r="H29" s="91"/>
      <c r="I29" s="91"/>
      <c r="J29" s="267"/>
      <c r="K29" s="37"/>
      <c r="L29" s="31">
        <v>23619.305</v>
      </c>
      <c r="M29" s="16"/>
      <c r="N29" s="40"/>
      <c r="O29" s="21"/>
      <c r="P29" s="31"/>
      <c r="Q29" s="16"/>
    </row>
    <row r="30" spans="3:17" ht="15" customHeight="1">
      <c r="C30" s="5" t="s">
        <v>732</v>
      </c>
      <c r="D30" s="35"/>
      <c r="E30" s="92">
        <v>3.035</v>
      </c>
      <c r="F30" s="48"/>
      <c r="G30" s="41">
        <v>38449</v>
      </c>
      <c r="H30" s="91">
        <v>38631</v>
      </c>
      <c r="I30" s="91"/>
      <c r="J30" s="267"/>
      <c r="K30" s="37">
        <v>38631</v>
      </c>
      <c r="L30" s="31">
        <v>21841.619</v>
      </c>
      <c r="M30" s="16"/>
      <c r="N30" s="40">
        <v>0</v>
      </c>
      <c r="O30" s="21"/>
      <c r="P30" s="31">
        <f>L30+L31</f>
        <v>45442.869999999995</v>
      </c>
      <c r="Q30" s="16"/>
    </row>
    <row r="31" spans="3:17" ht="15" customHeight="1">
      <c r="C31" s="5"/>
      <c r="D31" s="35"/>
      <c r="E31" s="92">
        <v>3.145</v>
      </c>
      <c r="F31" s="48"/>
      <c r="G31" s="41">
        <v>38540</v>
      </c>
      <c r="H31" s="91"/>
      <c r="I31" s="91"/>
      <c r="J31" s="267"/>
      <c r="K31" s="37"/>
      <c r="L31" s="31">
        <v>23601.251</v>
      </c>
      <c r="M31" s="16"/>
      <c r="N31" s="40"/>
      <c r="O31" s="21"/>
      <c r="P31" s="31"/>
      <c r="Q31" s="16"/>
    </row>
    <row r="32" spans="3:17" ht="15" customHeight="1">
      <c r="C32" s="5" t="s">
        <v>733</v>
      </c>
      <c r="D32" s="35"/>
      <c r="E32" s="92">
        <v>3.065</v>
      </c>
      <c r="F32" s="48"/>
      <c r="G32" s="41">
        <v>38456</v>
      </c>
      <c r="H32" s="91">
        <v>38638</v>
      </c>
      <c r="I32" s="91"/>
      <c r="J32" s="267"/>
      <c r="K32" s="37">
        <v>38638</v>
      </c>
      <c r="L32" s="31">
        <v>20517.964</v>
      </c>
      <c r="M32" s="16"/>
      <c r="N32" s="40">
        <v>0</v>
      </c>
      <c r="O32" s="21"/>
      <c r="P32" s="31">
        <f>L32+L33</f>
        <v>44846.464</v>
      </c>
      <c r="Q32" s="16"/>
    </row>
    <row r="33" spans="3:17" ht="15" customHeight="1">
      <c r="C33" s="5"/>
      <c r="D33" s="35"/>
      <c r="E33" s="92">
        <v>3.135</v>
      </c>
      <c r="F33" s="48"/>
      <c r="G33" s="41">
        <v>38547</v>
      </c>
      <c r="H33" s="91"/>
      <c r="I33" s="91"/>
      <c r="J33" s="267"/>
      <c r="K33" s="37"/>
      <c r="L33" s="31">
        <v>24328.5</v>
      </c>
      <c r="M33" s="16"/>
      <c r="N33" s="40"/>
      <c r="O33" s="21"/>
      <c r="P33" s="31"/>
      <c r="Q33" s="16"/>
    </row>
    <row r="34" spans="3:17" ht="15" customHeight="1">
      <c r="C34" s="5" t="s">
        <v>734</v>
      </c>
      <c r="D34" s="35"/>
      <c r="E34" s="92">
        <v>3.04</v>
      </c>
      <c r="F34" s="48"/>
      <c r="G34" s="41">
        <v>38463</v>
      </c>
      <c r="H34" s="91">
        <v>38645</v>
      </c>
      <c r="I34" s="91"/>
      <c r="J34" s="267"/>
      <c r="K34" s="37">
        <v>38645</v>
      </c>
      <c r="L34" s="31">
        <v>19411.335</v>
      </c>
      <c r="M34" s="16"/>
      <c r="N34" s="40">
        <v>0</v>
      </c>
      <c r="O34" s="21"/>
      <c r="P34" s="31">
        <f>L34+L35</f>
        <v>44582.414000000004</v>
      </c>
      <c r="Q34" s="16"/>
    </row>
    <row r="35" spans="3:17" ht="15" customHeight="1">
      <c r="C35" s="5"/>
      <c r="D35" s="35"/>
      <c r="E35" s="92">
        <v>3.22</v>
      </c>
      <c r="F35" s="48"/>
      <c r="G35" s="41">
        <v>38554</v>
      </c>
      <c r="H35" s="91"/>
      <c r="I35" s="91"/>
      <c r="J35" s="267"/>
      <c r="K35" s="37"/>
      <c r="L35" s="31">
        <v>25171.079</v>
      </c>
      <c r="M35" s="16"/>
      <c r="N35" s="40"/>
      <c r="O35" s="21"/>
      <c r="P35" s="31"/>
      <c r="Q35" s="16"/>
    </row>
    <row r="36" spans="3:17" ht="15" customHeight="1">
      <c r="C36" s="5" t="s">
        <v>735</v>
      </c>
      <c r="D36" s="35"/>
      <c r="E36" s="92">
        <v>3.09</v>
      </c>
      <c r="F36" s="48"/>
      <c r="G36" s="41">
        <v>38470</v>
      </c>
      <c r="H36" s="91">
        <v>38652</v>
      </c>
      <c r="I36" s="91"/>
      <c r="J36" s="267"/>
      <c r="K36" s="37">
        <v>38652</v>
      </c>
      <c r="L36" s="31">
        <v>19354.698</v>
      </c>
      <c r="M36" s="16"/>
      <c r="N36" s="40">
        <v>0</v>
      </c>
      <c r="O36" s="21"/>
      <c r="P36" s="31">
        <f>L36+L37</f>
        <v>45559.2</v>
      </c>
      <c r="Q36" s="16"/>
    </row>
    <row r="37" spans="3:17" ht="15" customHeight="1">
      <c r="C37" s="5"/>
      <c r="D37" s="35"/>
      <c r="E37" s="92">
        <v>3.345</v>
      </c>
      <c r="F37" s="48"/>
      <c r="G37" s="41">
        <v>38561</v>
      </c>
      <c r="H37" s="91"/>
      <c r="I37" s="91"/>
      <c r="J37" s="267"/>
      <c r="K37" s="37"/>
      <c r="L37" s="31">
        <v>26204.502</v>
      </c>
      <c r="M37" s="16"/>
      <c r="N37" s="40"/>
      <c r="O37" s="21"/>
      <c r="P37" s="31"/>
      <c r="Q37" s="16"/>
    </row>
    <row r="38" spans="3:17" ht="15" customHeight="1">
      <c r="C38" s="5" t="s">
        <v>463</v>
      </c>
      <c r="D38" s="35"/>
      <c r="E38" s="92">
        <v>3.085</v>
      </c>
      <c r="F38" s="48"/>
      <c r="G38" s="41">
        <v>38477</v>
      </c>
      <c r="H38" s="91">
        <v>38659</v>
      </c>
      <c r="I38" s="91"/>
      <c r="J38" s="267"/>
      <c r="K38" s="37">
        <v>38659</v>
      </c>
      <c r="L38" s="31">
        <v>18217.922</v>
      </c>
      <c r="M38" s="16"/>
      <c r="N38" s="40">
        <v>0</v>
      </c>
      <c r="O38" s="21"/>
      <c r="P38" s="31">
        <f>L38</f>
        <v>18217.922</v>
      </c>
      <c r="Q38" s="16"/>
    </row>
    <row r="39" spans="3:17" ht="15" customHeight="1">
      <c r="C39" s="5" t="s">
        <v>464</v>
      </c>
      <c r="D39" s="35"/>
      <c r="E39" s="92">
        <v>3.12</v>
      </c>
      <c r="F39" s="48"/>
      <c r="G39" s="41">
        <v>38484</v>
      </c>
      <c r="H39" s="91">
        <v>38666</v>
      </c>
      <c r="I39" s="91"/>
      <c r="J39" s="267"/>
      <c r="K39" s="37">
        <v>38666</v>
      </c>
      <c r="L39" s="31">
        <v>18285.258</v>
      </c>
      <c r="M39" s="16"/>
      <c r="N39" s="40">
        <v>0</v>
      </c>
      <c r="O39" s="21"/>
      <c r="P39" s="31">
        <f>L39</f>
        <v>18285.258</v>
      </c>
      <c r="Q39" s="16"/>
    </row>
    <row r="40" spans="3:17" ht="15" customHeight="1">
      <c r="C40" s="5" t="s">
        <v>465</v>
      </c>
      <c r="D40" s="35"/>
      <c r="E40" s="92">
        <v>3.07</v>
      </c>
      <c r="F40" s="48"/>
      <c r="G40" s="41">
        <v>38491</v>
      </c>
      <c r="H40" s="91">
        <v>38673</v>
      </c>
      <c r="I40" s="91"/>
      <c r="J40" s="267"/>
      <c r="K40" s="37">
        <v>38673</v>
      </c>
      <c r="L40" s="31">
        <v>19542.723</v>
      </c>
      <c r="M40" s="16"/>
      <c r="N40" s="40">
        <v>0</v>
      </c>
      <c r="O40" s="21"/>
      <c r="P40" s="31">
        <f>L40</f>
        <v>19542.723</v>
      </c>
      <c r="Q40" s="16"/>
    </row>
    <row r="41" spans="3:17" ht="15" customHeight="1">
      <c r="C41" s="5" t="s">
        <v>466</v>
      </c>
      <c r="D41" s="35"/>
      <c r="E41" s="92">
        <v>3.11</v>
      </c>
      <c r="F41" s="48"/>
      <c r="G41" s="41">
        <v>38498</v>
      </c>
      <c r="H41" s="91">
        <v>38681</v>
      </c>
      <c r="I41" s="91"/>
      <c r="J41" s="267"/>
      <c r="K41" s="37">
        <v>38681</v>
      </c>
      <c r="L41" s="31">
        <v>20796.451</v>
      </c>
      <c r="M41" s="16"/>
      <c r="N41" s="40">
        <v>0</v>
      </c>
      <c r="O41" s="21"/>
      <c r="P41" s="31">
        <f aca="true" t="shared" si="0" ref="P41:P46">L41</f>
        <v>20796.451</v>
      </c>
      <c r="Q41" s="16"/>
    </row>
    <row r="42" spans="3:17" ht="15" customHeight="1">
      <c r="C42" s="5" t="s">
        <v>213</v>
      </c>
      <c r="D42" s="35"/>
      <c r="E42" s="92">
        <v>3.08</v>
      </c>
      <c r="F42" s="48"/>
      <c r="G42" s="41">
        <v>38505</v>
      </c>
      <c r="H42" s="91">
        <v>38687</v>
      </c>
      <c r="I42" s="91"/>
      <c r="J42" s="267"/>
      <c r="K42" s="37">
        <v>38687</v>
      </c>
      <c r="L42" s="31">
        <v>20995.53</v>
      </c>
      <c r="M42" s="16"/>
      <c r="N42" s="40">
        <v>0</v>
      </c>
      <c r="O42" s="21"/>
      <c r="P42" s="31">
        <f t="shared" si="0"/>
        <v>20995.53</v>
      </c>
      <c r="Q42" s="16"/>
    </row>
    <row r="43" spans="3:17" ht="15" customHeight="1">
      <c r="C43" s="5" t="s">
        <v>214</v>
      </c>
      <c r="D43" s="35"/>
      <c r="E43" s="92">
        <v>3.06</v>
      </c>
      <c r="F43" s="48"/>
      <c r="G43" s="41">
        <v>38512</v>
      </c>
      <c r="H43" s="91">
        <v>38694</v>
      </c>
      <c r="I43" s="91"/>
      <c r="J43" s="267"/>
      <c r="K43" s="37">
        <v>38694</v>
      </c>
      <c r="L43" s="31">
        <v>21181.745</v>
      </c>
      <c r="M43" s="16"/>
      <c r="N43" s="40">
        <v>0</v>
      </c>
      <c r="O43" s="21"/>
      <c r="P43" s="31">
        <f t="shared" si="0"/>
        <v>21181.745</v>
      </c>
      <c r="Q43" s="16"/>
    </row>
    <row r="44" spans="3:17" ht="15" customHeight="1">
      <c r="C44" s="5" t="s">
        <v>215</v>
      </c>
      <c r="D44" s="35"/>
      <c r="E44" s="92">
        <v>3.12</v>
      </c>
      <c r="F44" s="48"/>
      <c r="G44" s="41">
        <v>38519</v>
      </c>
      <c r="H44" s="91">
        <v>38701</v>
      </c>
      <c r="I44" s="91"/>
      <c r="J44" s="267"/>
      <c r="K44" s="37">
        <v>38701</v>
      </c>
      <c r="L44" s="31">
        <v>21072.125</v>
      </c>
      <c r="M44" s="16"/>
      <c r="N44" s="40">
        <v>0</v>
      </c>
      <c r="O44" s="21"/>
      <c r="P44" s="31">
        <f t="shared" si="0"/>
        <v>21072.125</v>
      </c>
      <c r="Q44" s="16"/>
    </row>
    <row r="45" spans="3:17" ht="15" customHeight="1">
      <c r="C45" s="5" t="s">
        <v>217</v>
      </c>
      <c r="D45" s="35"/>
      <c r="E45" s="92">
        <v>3.175</v>
      </c>
      <c r="F45" s="48"/>
      <c r="G45" s="41">
        <v>38526</v>
      </c>
      <c r="H45" s="91">
        <v>38708</v>
      </c>
      <c r="I45" s="91"/>
      <c r="J45" s="267"/>
      <c r="K45" s="37">
        <v>38708</v>
      </c>
      <c r="L45" s="31">
        <v>19857.337</v>
      </c>
      <c r="M45" s="16"/>
      <c r="N45" s="40">
        <v>0</v>
      </c>
      <c r="O45" s="21"/>
      <c r="P45" s="31">
        <f t="shared" si="0"/>
        <v>19857.337</v>
      </c>
      <c r="Q45" s="16"/>
    </row>
    <row r="46" spans="3:17" ht="15" customHeight="1">
      <c r="C46" s="5" t="s">
        <v>218</v>
      </c>
      <c r="D46" s="35"/>
      <c r="E46" s="92">
        <v>3.22</v>
      </c>
      <c r="F46" s="48"/>
      <c r="G46" s="41">
        <v>38533</v>
      </c>
      <c r="H46" s="91">
        <v>38715</v>
      </c>
      <c r="I46" s="91"/>
      <c r="J46" s="267"/>
      <c r="K46" s="37">
        <v>38715</v>
      </c>
      <c r="L46" s="31">
        <v>19785.558</v>
      </c>
      <c r="M46" s="16"/>
      <c r="N46" s="40">
        <v>0</v>
      </c>
      <c r="O46" s="21"/>
      <c r="P46" s="31">
        <f t="shared" si="0"/>
        <v>19785.558</v>
      </c>
      <c r="Q46" s="16"/>
    </row>
    <row r="47" spans="3:17" ht="15" customHeight="1">
      <c r="C47" s="5" t="s">
        <v>90</v>
      </c>
      <c r="D47" s="35"/>
      <c r="E47" s="92">
        <v>3.325</v>
      </c>
      <c r="F47" s="48"/>
      <c r="G47" s="41">
        <v>38540</v>
      </c>
      <c r="H47" s="91">
        <v>38722</v>
      </c>
      <c r="I47" s="91"/>
      <c r="J47" s="267"/>
      <c r="K47" s="37">
        <v>38722</v>
      </c>
      <c r="L47" s="31">
        <v>19882.537</v>
      </c>
      <c r="M47" s="16"/>
      <c r="N47" s="40">
        <v>0</v>
      </c>
      <c r="O47" s="21"/>
      <c r="P47" s="31">
        <f>L47</f>
        <v>19882.537</v>
      </c>
      <c r="Q47" s="16"/>
    </row>
    <row r="48" spans="3:17" ht="15" customHeight="1">
      <c r="C48" s="5" t="s">
        <v>91</v>
      </c>
      <c r="D48" s="35"/>
      <c r="E48" s="92">
        <v>3.355</v>
      </c>
      <c r="F48" s="48"/>
      <c r="G48" s="41">
        <v>38547</v>
      </c>
      <c r="H48" s="91">
        <v>38729</v>
      </c>
      <c r="I48" s="91"/>
      <c r="J48" s="267"/>
      <c r="K48" s="37">
        <v>38729</v>
      </c>
      <c r="L48" s="31">
        <v>21018.817</v>
      </c>
      <c r="M48" s="16"/>
      <c r="N48" s="40">
        <v>0</v>
      </c>
      <c r="O48" s="21"/>
      <c r="P48" s="31">
        <f>L48</f>
        <v>21018.817</v>
      </c>
      <c r="Q48" s="16"/>
    </row>
    <row r="49" spans="3:17" ht="15" customHeight="1">
      <c r="C49" s="5" t="s">
        <v>92</v>
      </c>
      <c r="D49" s="35"/>
      <c r="E49" s="92">
        <v>3.42</v>
      </c>
      <c r="F49" s="48"/>
      <c r="G49" s="41">
        <v>38554</v>
      </c>
      <c r="H49" s="91">
        <v>38736</v>
      </c>
      <c r="I49" s="91"/>
      <c r="J49" s="267"/>
      <c r="K49" s="37">
        <v>38736</v>
      </c>
      <c r="L49" s="31">
        <v>22291.159</v>
      </c>
      <c r="M49" s="16"/>
      <c r="N49" s="40">
        <v>0</v>
      </c>
      <c r="O49" s="21"/>
      <c r="P49" s="31">
        <f>L49</f>
        <v>22291.159</v>
      </c>
      <c r="Q49" s="16"/>
    </row>
    <row r="50" spans="3:17" ht="15" customHeight="1">
      <c r="C50" s="5" t="s">
        <v>93</v>
      </c>
      <c r="D50" s="35"/>
      <c r="E50" s="92">
        <v>3.54</v>
      </c>
      <c r="F50" s="48"/>
      <c r="G50" s="41">
        <v>38561</v>
      </c>
      <c r="H50" s="91">
        <v>38743</v>
      </c>
      <c r="I50" s="91"/>
      <c r="J50" s="267"/>
      <c r="K50" s="37">
        <v>38743</v>
      </c>
      <c r="L50" s="31">
        <v>23472.788</v>
      </c>
      <c r="M50" s="16"/>
      <c r="N50" s="40">
        <v>0</v>
      </c>
      <c r="O50" s="21"/>
      <c r="P50" s="31">
        <f>L50</f>
        <v>23472.788</v>
      </c>
      <c r="Q50" s="16"/>
    </row>
    <row r="51" spans="2:17" ht="21" customHeight="1">
      <c r="B51" s="5" t="s">
        <v>293</v>
      </c>
      <c r="G51" s="11" t="s">
        <v>939</v>
      </c>
      <c r="H51" s="37" t="s">
        <v>940</v>
      </c>
      <c r="I51" s="37" t="s">
        <v>940</v>
      </c>
      <c r="J51" s="2"/>
      <c r="K51" s="25" t="s">
        <v>1037</v>
      </c>
      <c r="L51" s="45">
        <f>SUM(L8:L50)</f>
        <v>942242.702</v>
      </c>
      <c r="M51" s="158"/>
      <c r="N51" s="45">
        <f>SUM(N7:N17)</f>
        <v>0</v>
      </c>
      <c r="O51" s="159"/>
      <c r="P51" s="45">
        <f>SUM(P8:P50)</f>
        <v>942242.702</v>
      </c>
      <c r="Q51" s="158"/>
    </row>
    <row r="52" spans="2:17" ht="15.75" customHeight="1">
      <c r="B52" t="s">
        <v>294</v>
      </c>
      <c r="G52" s="11" t="s">
        <v>939</v>
      </c>
      <c r="H52" s="37" t="s">
        <v>940</v>
      </c>
      <c r="I52" s="37" t="s">
        <v>940</v>
      </c>
      <c r="J52" s="2"/>
      <c r="K52" s="25" t="s">
        <v>1037</v>
      </c>
      <c r="L52" s="160" t="s">
        <v>375</v>
      </c>
      <c r="M52" s="22"/>
      <c r="N52" s="40">
        <v>0</v>
      </c>
      <c r="O52" s="161"/>
      <c r="P52" s="160" t="str">
        <f>L52</f>
        <v>*  </v>
      </c>
      <c r="Q52" s="22"/>
    </row>
    <row r="53" spans="2:17" ht="15.75" customHeight="1" thickBot="1">
      <c r="B53" s="59" t="s">
        <v>693</v>
      </c>
      <c r="G53" s="11" t="s">
        <v>939</v>
      </c>
      <c r="H53" s="37" t="s">
        <v>940</v>
      </c>
      <c r="I53" s="37" t="s">
        <v>940</v>
      </c>
      <c r="J53" s="2"/>
      <c r="K53" s="25" t="s">
        <v>1037</v>
      </c>
      <c r="L53" s="162">
        <f>+L51+0.427</f>
        <v>942243.1290000001</v>
      </c>
      <c r="M53" s="163"/>
      <c r="N53" s="162">
        <f>SUM(N51:N52)</f>
        <v>0</v>
      </c>
      <c r="O53" s="165"/>
      <c r="P53" s="162">
        <f>+P51+0.427</f>
        <v>942243.1290000001</v>
      </c>
      <c r="Q53" s="19"/>
    </row>
    <row r="54" spans="2:17" ht="36.75" customHeight="1" thickTop="1">
      <c r="B54" s="5" t="s">
        <v>1038</v>
      </c>
      <c r="D54" s="111" t="s">
        <v>563</v>
      </c>
      <c r="F54" s="14"/>
      <c r="G54" s="13"/>
      <c r="H54" s="13"/>
      <c r="I54" s="13"/>
      <c r="J54" s="30"/>
      <c r="K54" s="52"/>
      <c r="L54" s="9"/>
      <c r="N54" s="9"/>
      <c r="P54" s="31"/>
      <c r="Q54" s="16"/>
    </row>
    <row r="55" spans="2:17" ht="17.25" customHeight="1">
      <c r="B55" s="5" t="s">
        <v>283</v>
      </c>
      <c r="D55" s="2" t="s">
        <v>1039</v>
      </c>
      <c r="E55" s="2" t="s">
        <v>1040</v>
      </c>
      <c r="F55" s="2"/>
      <c r="G55" s="53"/>
      <c r="H55" s="53"/>
      <c r="I55" s="53"/>
      <c r="J55" s="33"/>
      <c r="K55" s="52"/>
      <c r="L55" s="9"/>
      <c r="N55" s="9"/>
      <c r="P55" s="31"/>
      <c r="Q55" s="16"/>
    </row>
    <row r="56" spans="3:17" ht="15.75" customHeight="1">
      <c r="C56" s="5" t="s">
        <v>1139</v>
      </c>
      <c r="D56" s="39" t="s">
        <v>160</v>
      </c>
      <c r="E56" s="306">
        <v>6.5</v>
      </c>
      <c r="F56" s="110"/>
      <c r="G56" s="41">
        <v>34926</v>
      </c>
      <c r="H56" s="41">
        <v>38579</v>
      </c>
      <c r="I56" s="37"/>
      <c r="J56" s="2"/>
      <c r="K56" s="25" t="s">
        <v>1015</v>
      </c>
      <c r="L56" s="31">
        <v>15002.58</v>
      </c>
      <c r="M56" s="16"/>
      <c r="N56" s="40">
        <v>0</v>
      </c>
      <c r="O56" s="21"/>
      <c r="P56" s="31">
        <f>L56-N56</f>
        <v>15002.58</v>
      </c>
      <c r="Q56" s="16"/>
    </row>
    <row r="57" spans="3:17" ht="15.75" customHeight="1">
      <c r="C57" s="5" t="s">
        <v>1135</v>
      </c>
      <c r="D57" s="39" t="s">
        <v>157</v>
      </c>
      <c r="E57" s="306">
        <v>2</v>
      </c>
      <c r="F57" s="110"/>
      <c r="G57" s="41">
        <v>37866</v>
      </c>
      <c r="H57" s="41">
        <v>38595</v>
      </c>
      <c r="I57" s="37"/>
      <c r="J57" s="2"/>
      <c r="K57" s="25" t="s">
        <v>1136</v>
      </c>
      <c r="L57" s="31">
        <v>30592.178</v>
      </c>
      <c r="M57" s="16"/>
      <c r="N57" s="40">
        <v>0</v>
      </c>
      <c r="O57" s="21"/>
      <c r="P57" s="31">
        <f aca="true" t="shared" si="1" ref="P57:P65">L57-N57</f>
        <v>30592.178</v>
      </c>
      <c r="Q57" s="16"/>
    </row>
    <row r="58" spans="3:17" ht="15.75" customHeight="1">
      <c r="C58" s="5" t="s">
        <v>970</v>
      </c>
      <c r="D58" s="39" t="s">
        <v>159</v>
      </c>
      <c r="E58" s="306">
        <v>1.625</v>
      </c>
      <c r="F58" s="110"/>
      <c r="G58" s="41">
        <v>37894</v>
      </c>
      <c r="H58" s="41">
        <v>38625</v>
      </c>
      <c r="I58" s="37"/>
      <c r="J58" s="2"/>
      <c r="K58" s="25" t="s">
        <v>148</v>
      </c>
      <c r="L58" s="31">
        <v>31538.969</v>
      </c>
      <c r="M58" s="16"/>
      <c r="N58" s="40">
        <v>0</v>
      </c>
      <c r="O58" s="21"/>
      <c r="P58" s="31">
        <f t="shared" si="1"/>
        <v>31538.969</v>
      </c>
      <c r="Q58" s="16"/>
    </row>
    <row r="59" spans="3:17" ht="15.75" customHeight="1">
      <c r="C59" s="5" t="s">
        <v>971</v>
      </c>
      <c r="D59" s="39" t="s">
        <v>161</v>
      </c>
      <c r="E59" s="306">
        <v>1.625</v>
      </c>
      <c r="F59" s="110"/>
      <c r="G59" s="41">
        <v>37925</v>
      </c>
      <c r="H59" s="41">
        <v>38656</v>
      </c>
      <c r="I59" s="37"/>
      <c r="J59" s="2"/>
      <c r="K59" s="25" t="s">
        <v>152</v>
      </c>
      <c r="L59" s="31">
        <v>32368.42</v>
      </c>
      <c r="M59" s="16"/>
      <c r="N59" s="40">
        <v>0</v>
      </c>
      <c r="O59" s="21"/>
      <c r="P59" s="31">
        <f t="shared" si="1"/>
        <v>32368.42</v>
      </c>
      <c r="Q59" s="16"/>
    </row>
    <row r="60" spans="3:17" ht="15.75" customHeight="1">
      <c r="C60" s="5" t="s">
        <v>937</v>
      </c>
      <c r="D60" s="39" t="s">
        <v>165</v>
      </c>
      <c r="E60" s="306">
        <v>5.875</v>
      </c>
      <c r="F60" s="110"/>
      <c r="G60" s="41">
        <v>35027</v>
      </c>
      <c r="H60" s="41">
        <v>38671</v>
      </c>
      <c r="I60" s="37"/>
      <c r="J60" s="2"/>
      <c r="K60" s="25" t="s">
        <v>154</v>
      </c>
      <c r="L60" s="31">
        <v>15209.92</v>
      </c>
      <c r="M60" s="16"/>
      <c r="N60" s="40">
        <v>0</v>
      </c>
      <c r="O60" s="21"/>
      <c r="P60" s="31">
        <f t="shared" si="1"/>
        <v>15209.92</v>
      </c>
      <c r="Q60" s="16"/>
    </row>
    <row r="61" spans="3:17" ht="15.75" customHeight="1">
      <c r="C61" s="5" t="s">
        <v>639</v>
      </c>
      <c r="D61" s="39" t="s">
        <v>149</v>
      </c>
      <c r="E61" s="306">
        <v>5.75</v>
      </c>
      <c r="F61" s="110"/>
      <c r="G61" s="41">
        <v>36845</v>
      </c>
      <c r="H61" s="41">
        <v>38671</v>
      </c>
      <c r="I61" s="37"/>
      <c r="J61" s="2"/>
      <c r="K61" s="25" t="s">
        <v>154</v>
      </c>
      <c r="L61" s="31">
        <v>28062.797</v>
      </c>
      <c r="M61" s="16"/>
      <c r="N61" s="40">
        <v>0</v>
      </c>
      <c r="O61" s="21"/>
      <c r="P61" s="31">
        <f t="shared" si="1"/>
        <v>28062.797</v>
      </c>
      <c r="Q61" s="16"/>
    </row>
    <row r="62" spans="3:17" ht="15.75" customHeight="1">
      <c r="C62" s="96" t="s">
        <v>190</v>
      </c>
      <c r="D62" s="39" t="s">
        <v>162</v>
      </c>
      <c r="E62" s="306">
        <v>1.875</v>
      </c>
      <c r="F62" s="110"/>
      <c r="G62" s="41">
        <v>37956</v>
      </c>
      <c r="H62" s="41">
        <v>38686</v>
      </c>
      <c r="I62" s="37"/>
      <c r="J62" s="2"/>
      <c r="K62" s="25" t="s">
        <v>156</v>
      </c>
      <c r="L62" s="31">
        <v>32203.806</v>
      </c>
      <c r="M62" s="16"/>
      <c r="N62" s="40">
        <v>0</v>
      </c>
      <c r="O62" s="21"/>
      <c r="P62" s="31">
        <f t="shared" si="1"/>
        <v>32203.806</v>
      </c>
      <c r="Q62" s="16"/>
    </row>
    <row r="63" spans="3:17" ht="15.75" customHeight="1">
      <c r="C63" s="5" t="s">
        <v>972</v>
      </c>
      <c r="D63" s="39" t="s">
        <v>164</v>
      </c>
      <c r="E63" s="306">
        <v>1.875</v>
      </c>
      <c r="F63" s="110"/>
      <c r="G63" s="41">
        <v>37986</v>
      </c>
      <c r="H63" s="41">
        <v>38717</v>
      </c>
      <c r="I63" s="37"/>
      <c r="J63" s="2"/>
      <c r="K63" s="25" t="s">
        <v>1042</v>
      </c>
      <c r="L63" s="31">
        <v>33996.27</v>
      </c>
      <c r="M63" s="16"/>
      <c r="N63" s="40">
        <v>0</v>
      </c>
      <c r="O63" s="21"/>
      <c r="P63" s="31">
        <f t="shared" si="1"/>
        <v>33996.27</v>
      </c>
      <c r="Q63" s="16"/>
    </row>
    <row r="64" spans="3:17" ht="15.75" customHeight="1">
      <c r="C64" s="5" t="s">
        <v>973</v>
      </c>
      <c r="D64" s="39" t="s">
        <v>1016</v>
      </c>
      <c r="E64" s="306">
        <v>1.875</v>
      </c>
      <c r="F64" s="110"/>
      <c r="G64" s="41">
        <v>38019</v>
      </c>
      <c r="H64" s="41">
        <v>38748</v>
      </c>
      <c r="I64" s="37"/>
      <c r="J64" s="2"/>
      <c r="K64" s="25" t="s">
        <v>449</v>
      </c>
      <c r="L64" s="31">
        <v>32533.188</v>
      </c>
      <c r="M64" s="16"/>
      <c r="N64" s="40">
        <v>0</v>
      </c>
      <c r="O64" s="21"/>
      <c r="P64" s="31">
        <f t="shared" si="1"/>
        <v>32533.188</v>
      </c>
      <c r="Q64" s="16"/>
    </row>
    <row r="65" spans="3:17" ht="15.75" customHeight="1">
      <c r="C65" s="96" t="s">
        <v>189</v>
      </c>
      <c r="D65" s="39" t="s">
        <v>1047</v>
      </c>
      <c r="E65" s="306">
        <v>5.625</v>
      </c>
      <c r="F65" s="110"/>
      <c r="G65" s="41">
        <v>35110</v>
      </c>
      <c r="H65" s="41">
        <v>38763</v>
      </c>
      <c r="I65" s="37"/>
      <c r="J65" s="2"/>
      <c r="K65" s="25" t="s">
        <v>1015</v>
      </c>
      <c r="L65" s="31">
        <v>15513.587</v>
      </c>
      <c r="M65" s="16"/>
      <c r="N65" s="40">
        <v>0</v>
      </c>
      <c r="O65" s="21"/>
      <c r="P65" s="31">
        <f t="shared" si="1"/>
        <v>15513.587</v>
      </c>
      <c r="Q65" s="16"/>
    </row>
    <row r="66" spans="3:17" ht="15.75" customHeight="1">
      <c r="C66" s="5" t="s">
        <v>764</v>
      </c>
      <c r="D66" s="39" t="s">
        <v>1017</v>
      </c>
      <c r="E66" s="306">
        <v>1.625</v>
      </c>
      <c r="F66" s="110"/>
      <c r="G66" s="41">
        <v>38047</v>
      </c>
      <c r="H66" s="41">
        <v>38776</v>
      </c>
      <c r="I66" s="37"/>
      <c r="J66" s="2"/>
      <c r="K66" s="25" t="s">
        <v>763</v>
      </c>
      <c r="L66" s="31">
        <v>34001.95</v>
      </c>
      <c r="M66" s="16"/>
      <c r="N66" s="40">
        <v>0</v>
      </c>
      <c r="O66" s="21"/>
      <c r="P66" s="31">
        <f aca="true" t="shared" si="2" ref="P66:P72">L66+N66</f>
        <v>34001.95</v>
      </c>
      <c r="Q66" s="16"/>
    </row>
    <row r="67" spans="3:17" ht="15.75" customHeight="1">
      <c r="C67" s="5" t="s">
        <v>974</v>
      </c>
      <c r="D67" s="39" t="s">
        <v>151</v>
      </c>
      <c r="E67" s="306">
        <v>1.5</v>
      </c>
      <c r="F67" s="110"/>
      <c r="G67" s="41">
        <v>38077</v>
      </c>
      <c r="H67" s="41">
        <v>38807</v>
      </c>
      <c r="I67" s="37"/>
      <c r="J67" s="2"/>
      <c r="K67" s="25" t="s">
        <v>126</v>
      </c>
      <c r="L67" s="31">
        <v>34338.606</v>
      </c>
      <c r="M67" s="16"/>
      <c r="N67" s="40">
        <v>0</v>
      </c>
      <c r="O67" s="21"/>
      <c r="P67" s="31">
        <f t="shared" si="2"/>
        <v>34338.606</v>
      </c>
      <c r="Q67" s="16"/>
    </row>
    <row r="68" spans="3:17" ht="15.75" customHeight="1">
      <c r="C68" s="5" t="s">
        <v>975</v>
      </c>
      <c r="D68" s="39" t="s">
        <v>155</v>
      </c>
      <c r="E68" s="306">
        <v>2.25</v>
      </c>
      <c r="F68" s="110"/>
      <c r="G68" s="41">
        <v>38107</v>
      </c>
      <c r="H68" s="41">
        <v>38837</v>
      </c>
      <c r="I68" s="37"/>
      <c r="J68" s="2"/>
      <c r="K68" s="25" t="s">
        <v>125</v>
      </c>
      <c r="L68" s="31">
        <v>34334.801</v>
      </c>
      <c r="M68" s="16"/>
      <c r="N68" s="40">
        <v>0</v>
      </c>
      <c r="O68" s="21"/>
      <c r="P68" s="31">
        <f t="shared" si="2"/>
        <v>34334.801</v>
      </c>
      <c r="Q68" s="16"/>
    </row>
    <row r="69" spans="3:17" ht="15.75" customHeight="1">
      <c r="C69" s="5" t="s">
        <v>744</v>
      </c>
      <c r="D69" s="39" t="s">
        <v>153</v>
      </c>
      <c r="E69" s="306">
        <v>6.875</v>
      </c>
      <c r="F69" s="110"/>
      <c r="G69" s="41">
        <v>35200</v>
      </c>
      <c r="H69" s="41">
        <v>38852</v>
      </c>
      <c r="I69" s="37"/>
      <c r="J69" s="2"/>
      <c r="K69" s="25" t="s">
        <v>933</v>
      </c>
      <c r="L69" s="31">
        <v>16015.475</v>
      </c>
      <c r="M69" s="16"/>
      <c r="N69" s="40">
        <v>0</v>
      </c>
      <c r="O69" s="21"/>
      <c r="P69" s="31">
        <f t="shared" si="2"/>
        <v>16015.475</v>
      </c>
      <c r="Q69" s="16"/>
    </row>
    <row r="70" spans="3:17" ht="15.75" customHeight="1">
      <c r="C70" s="5" t="s">
        <v>638</v>
      </c>
      <c r="D70" s="39" t="s">
        <v>1043</v>
      </c>
      <c r="E70" s="306">
        <v>4.625</v>
      </c>
      <c r="F70" s="110"/>
      <c r="G70" s="41">
        <v>37026</v>
      </c>
      <c r="H70" s="41">
        <v>38852</v>
      </c>
      <c r="I70" s="37"/>
      <c r="J70" s="2"/>
      <c r="K70" s="25" t="s">
        <v>933</v>
      </c>
      <c r="L70" s="31">
        <v>27797.852</v>
      </c>
      <c r="M70" s="16"/>
      <c r="N70" s="40">
        <v>0</v>
      </c>
      <c r="O70" s="21"/>
      <c r="P70" s="31">
        <f t="shared" si="2"/>
        <v>27797.852</v>
      </c>
      <c r="Q70" s="16"/>
    </row>
    <row r="71" spans="3:17" ht="15.75" customHeight="1">
      <c r="C71" s="5" t="s">
        <v>229</v>
      </c>
      <c r="D71" s="39" t="s">
        <v>158</v>
      </c>
      <c r="E71" s="306">
        <v>2</v>
      </c>
      <c r="F71" s="110"/>
      <c r="G71" s="41">
        <v>37756</v>
      </c>
      <c r="H71" s="41">
        <v>38852</v>
      </c>
      <c r="I71" s="37"/>
      <c r="J71" s="2"/>
      <c r="K71" s="25" t="s">
        <v>933</v>
      </c>
      <c r="L71" s="31">
        <v>22391.759</v>
      </c>
      <c r="M71" s="16"/>
      <c r="N71" s="40">
        <v>0</v>
      </c>
      <c r="O71" s="21"/>
      <c r="P71" s="31">
        <f t="shared" si="2"/>
        <v>22391.759</v>
      </c>
      <c r="Q71" s="16"/>
    </row>
    <row r="72" spans="3:17" ht="15.75" customHeight="1">
      <c r="C72" s="5" t="s">
        <v>976</v>
      </c>
      <c r="D72" s="39" t="s">
        <v>157</v>
      </c>
      <c r="E72" s="306">
        <v>2.5</v>
      </c>
      <c r="F72" s="110"/>
      <c r="G72" s="41">
        <v>38139</v>
      </c>
      <c r="H72" s="41">
        <v>38868</v>
      </c>
      <c r="I72" s="37"/>
      <c r="J72" s="2"/>
      <c r="K72" s="25" t="s">
        <v>930</v>
      </c>
      <c r="L72" s="31">
        <v>31307.947</v>
      </c>
      <c r="M72" s="16"/>
      <c r="N72" s="40">
        <v>0</v>
      </c>
      <c r="O72" s="21"/>
      <c r="P72" s="31">
        <f t="shared" si="2"/>
        <v>31307.947</v>
      </c>
      <c r="Q72" s="16"/>
    </row>
    <row r="73" spans="3:17" ht="15.75" customHeight="1">
      <c r="C73" s="5" t="s">
        <v>938</v>
      </c>
      <c r="D73" s="39" t="s">
        <v>159</v>
      </c>
      <c r="E73" s="306">
        <v>2.75</v>
      </c>
      <c r="F73" s="110"/>
      <c r="G73" s="41">
        <v>38168</v>
      </c>
      <c r="H73" s="41">
        <v>38898</v>
      </c>
      <c r="I73" s="37"/>
      <c r="J73" s="2"/>
      <c r="K73" s="25" t="s">
        <v>931</v>
      </c>
      <c r="L73" s="31">
        <v>32587.733</v>
      </c>
      <c r="M73" s="16"/>
      <c r="N73" s="40">
        <v>0</v>
      </c>
      <c r="O73" s="21"/>
      <c r="P73" s="31">
        <f>L73+N73</f>
        <v>32587.733</v>
      </c>
      <c r="Q73" s="16"/>
    </row>
    <row r="74" spans="3:17" ht="15.75" customHeight="1">
      <c r="C74" s="5" t="s">
        <v>230</v>
      </c>
      <c r="D74" s="39" t="s">
        <v>160</v>
      </c>
      <c r="E74" s="306">
        <v>7</v>
      </c>
      <c r="F74" s="110"/>
      <c r="G74" s="41">
        <v>35261</v>
      </c>
      <c r="H74" s="41">
        <v>38913</v>
      </c>
      <c r="I74" s="37"/>
      <c r="J74" s="2"/>
      <c r="K74" s="25" t="s">
        <v>1044</v>
      </c>
      <c r="L74" s="31">
        <v>22740.446</v>
      </c>
      <c r="M74" s="16"/>
      <c r="N74" s="40">
        <v>0</v>
      </c>
      <c r="O74" s="21"/>
      <c r="P74" s="31">
        <f>L74+N74</f>
        <v>22740.446</v>
      </c>
      <c r="Q74" s="16"/>
    </row>
    <row r="75" spans="3:17" ht="15.75" customHeight="1">
      <c r="C75" s="96" t="s">
        <v>680</v>
      </c>
      <c r="D75" s="39" t="s">
        <v>161</v>
      </c>
      <c r="E75" s="306">
        <v>2.75</v>
      </c>
      <c r="F75" s="110"/>
      <c r="G75" s="41">
        <v>38201</v>
      </c>
      <c r="H75" s="41">
        <v>38929</v>
      </c>
      <c r="I75" s="37"/>
      <c r="J75" s="2"/>
      <c r="K75" s="25" t="s">
        <v>1046</v>
      </c>
      <c r="L75" s="31">
        <v>31010.881</v>
      </c>
      <c r="M75" s="16"/>
      <c r="N75" s="40">
        <v>0</v>
      </c>
      <c r="O75" s="21"/>
      <c r="P75" s="31">
        <f>L75</f>
        <v>31010.881</v>
      </c>
      <c r="Q75" s="16"/>
    </row>
    <row r="76" spans="3:17" ht="15.75" customHeight="1">
      <c r="C76" s="5" t="s">
        <v>977</v>
      </c>
      <c r="D76" s="39" t="s">
        <v>163</v>
      </c>
      <c r="E76" s="306">
        <v>2.375</v>
      </c>
      <c r="F76" s="110"/>
      <c r="G76" s="41">
        <v>37848</v>
      </c>
      <c r="H76" s="41">
        <v>38944</v>
      </c>
      <c r="I76" s="37"/>
      <c r="J76" s="2"/>
      <c r="K76" s="25" t="s">
        <v>1015</v>
      </c>
      <c r="L76" s="31">
        <v>27909.346</v>
      </c>
      <c r="M76" s="16"/>
      <c r="N76" s="40">
        <v>0</v>
      </c>
      <c r="O76" s="21"/>
      <c r="P76" s="31">
        <f>L76</f>
        <v>27909.346</v>
      </c>
      <c r="Q76" s="16"/>
    </row>
    <row r="77" spans="3:17" ht="15.75" customHeight="1">
      <c r="C77" s="5" t="s">
        <v>978</v>
      </c>
      <c r="D77" s="39" t="s">
        <v>162</v>
      </c>
      <c r="E77" s="306">
        <v>2.375</v>
      </c>
      <c r="F77" s="110"/>
      <c r="G77" s="41">
        <v>38230</v>
      </c>
      <c r="H77" s="41">
        <v>38960</v>
      </c>
      <c r="I77" s="37"/>
      <c r="J77" s="2"/>
      <c r="K77" s="25" t="s">
        <v>681</v>
      </c>
      <c r="L77" s="31">
        <v>31814.087</v>
      </c>
      <c r="M77" s="16"/>
      <c r="N77" s="40">
        <v>0</v>
      </c>
      <c r="O77" s="21"/>
      <c r="P77" s="31">
        <f>L77</f>
        <v>31814.087</v>
      </c>
      <c r="Q77" s="16"/>
    </row>
    <row r="78" spans="3:17" ht="15.75" customHeight="1">
      <c r="C78" s="5" t="s">
        <v>979</v>
      </c>
      <c r="D78" s="39" t="s">
        <v>164</v>
      </c>
      <c r="E78" s="306">
        <v>2.5</v>
      </c>
      <c r="F78" s="110"/>
      <c r="G78" s="41">
        <v>38260</v>
      </c>
      <c r="H78" s="41">
        <v>38990</v>
      </c>
      <c r="I78" s="37"/>
      <c r="J78" s="2"/>
      <c r="K78" s="25" t="s">
        <v>148</v>
      </c>
      <c r="L78" s="31">
        <v>31656.294</v>
      </c>
      <c r="M78" s="16"/>
      <c r="N78" s="40">
        <v>0</v>
      </c>
      <c r="O78" s="21"/>
      <c r="P78" s="31">
        <f>L78</f>
        <v>31656.294</v>
      </c>
      <c r="Q78" s="16"/>
    </row>
    <row r="79" spans="3:17" ht="15.75" customHeight="1">
      <c r="C79" s="5" t="s">
        <v>965</v>
      </c>
      <c r="D79" s="39" t="s">
        <v>165</v>
      </c>
      <c r="E79" s="306">
        <v>6.5</v>
      </c>
      <c r="F79" s="110"/>
      <c r="G79" s="41">
        <v>35353</v>
      </c>
      <c r="H79" s="41">
        <v>39005</v>
      </c>
      <c r="I79" s="70"/>
      <c r="J79" s="2"/>
      <c r="K79" s="25" t="s">
        <v>150</v>
      </c>
      <c r="L79" s="31">
        <v>22459.675</v>
      </c>
      <c r="M79" s="16"/>
      <c r="N79" s="40">
        <v>0</v>
      </c>
      <c r="O79" s="21"/>
      <c r="P79" s="31">
        <f>L79+N79</f>
        <v>22459.675</v>
      </c>
      <c r="Q79" s="16"/>
    </row>
    <row r="80" spans="3:17" ht="15.75" customHeight="1">
      <c r="C80" s="96" t="s">
        <v>728</v>
      </c>
      <c r="D80" s="39" t="s">
        <v>729</v>
      </c>
      <c r="E80" s="306">
        <v>2.5</v>
      </c>
      <c r="F80" s="110"/>
      <c r="G80" s="41">
        <v>38292</v>
      </c>
      <c r="H80" s="41">
        <v>39021</v>
      </c>
      <c r="I80" s="37"/>
      <c r="J80" s="2"/>
      <c r="K80" s="25" t="s">
        <v>152</v>
      </c>
      <c r="L80" s="31">
        <v>29568.526</v>
      </c>
      <c r="M80" s="16"/>
      <c r="N80" s="40">
        <v>0</v>
      </c>
      <c r="O80" s="21"/>
      <c r="P80" s="31">
        <f>L80</f>
        <v>29568.526</v>
      </c>
      <c r="Q80" s="16"/>
    </row>
    <row r="81" spans="3:17" ht="15.75" customHeight="1">
      <c r="C81" s="5" t="s">
        <v>730</v>
      </c>
      <c r="D81" s="39" t="s">
        <v>149</v>
      </c>
      <c r="E81" s="306">
        <v>3.5</v>
      </c>
      <c r="F81" s="110"/>
      <c r="G81" s="41">
        <v>37210</v>
      </c>
      <c r="H81" s="41">
        <v>39036</v>
      </c>
      <c r="I81" s="70"/>
      <c r="J81" s="2"/>
      <c r="K81" s="25" t="s">
        <v>154</v>
      </c>
      <c r="L81" s="31">
        <v>35380.129</v>
      </c>
      <c r="M81" s="16"/>
      <c r="N81" s="40">
        <v>0</v>
      </c>
      <c r="O81" s="21"/>
      <c r="P81" s="31">
        <f aca="true" t="shared" si="3" ref="P81:P105">L81+N81</f>
        <v>35380.129</v>
      </c>
      <c r="Q81" s="16"/>
    </row>
    <row r="82" spans="3:17" ht="15.75" customHeight="1">
      <c r="C82" s="96" t="s">
        <v>122</v>
      </c>
      <c r="D82" s="39" t="s">
        <v>1045</v>
      </c>
      <c r="E82" s="306">
        <v>2.625</v>
      </c>
      <c r="F82" s="110"/>
      <c r="G82" s="41">
        <v>37942</v>
      </c>
      <c r="H82" s="41">
        <v>39036</v>
      </c>
      <c r="I82" s="70"/>
      <c r="J82" s="2"/>
      <c r="K82" s="25" t="s">
        <v>154</v>
      </c>
      <c r="L82" s="31">
        <v>26535.905</v>
      </c>
      <c r="M82" s="16"/>
      <c r="N82" s="40">
        <v>0</v>
      </c>
      <c r="O82" s="21"/>
      <c r="P82" s="31">
        <f t="shared" si="3"/>
        <v>26535.905</v>
      </c>
      <c r="Q82" s="16"/>
    </row>
    <row r="83" spans="3:17" ht="15.75" customHeight="1">
      <c r="C83" s="5" t="s">
        <v>980</v>
      </c>
      <c r="D83" s="39" t="s">
        <v>1041</v>
      </c>
      <c r="E83" s="306">
        <v>2.875</v>
      </c>
      <c r="F83" s="110"/>
      <c r="G83" s="41">
        <v>38321</v>
      </c>
      <c r="H83" s="41">
        <v>39051</v>
      </c>
      <c r="I83" s="70"/>
      <c r="J83" s="2"/>
      <c r="K83" s="25" t="s">
        <v>156</v>
      </c>
      <c r="L83" s="31">
        <v>30049.344</v>
      </c>
      <c r="M83" s="16"/>
      <c r="N83" s="40">
        <v>0</v>
      </c>
      <c r="O83" s="21"/>
      <c r="P83" s="31">
        <f>L83</f>
        <v>30049.344</v>
      </c>
      <c r="Q83" s="16"/>
    </row>
    <row r="84" spans="3:17" ht="15.75" customHeight="1">
      <c r="C84" s="5" t="s">
        <v>981</v>
      </c>
      <c r="D84" s="39" t="s">
        <v>167</v>
      </c>
      <c r="E84" s="306">
        <v>3</v>
      </c>
      <c r="F84" s="110"/>
      <c r="G84" s="41">
        <v>38352</v>
      </c>
      <c r="H84" s="41">
        <v>39082</v>
      </c>
      <c r="I84" s="70"/>
      <c r="J84" s="2"/>
      <c r="K84" s="25" t="s">
        <v>1042</v>
      </c>
      <c r="L84" s="31">
        <v>31951.752</v>
      </c>
      <c r="M84" s="16"/>
      <c r="N84" s="40">
        <v>0</v>
      </c>
      <c r="O84" s="21"/>
      <c r="P84" s="31">
        <f>L84</f>
        <v>31951.752</v>
      </c>
      <c r="Q84" s="16"/>
    </row>
    <row r="85" spans="3:17" ht="15.75" customHeight="1">
      <c r="C85" s="5" t="s">
        <v>982</v>
      </c>
      <c r="D85" s="39" t="s">
        <v>151</v>
      </c>
      <c r="E85" s="306">
        <v>3.125</v>
      </c>
      <c r="F85" s="110"/>
      <c r="G85" s="41">
        <v>38383</v>
      </c>
      <c r="H85" s="41">
        <v>39113</v>
      </c>
      <c r="I85" s="70"/>
      <c r="J85" s="2"/>
      <c r="K85" s="25" t="s">
        <v>449</v>
      </c>
      <c r="L85" s="31">
        <v>29026.959</v>
      </c>
      <c r="M85" s="16"/>
      <c r="N85" s="40">
        <v>0</v>
      </c>
      <c r="O85" s="21"/>
      <c r="P85" s="31">
        <f>L85</f>
        <v>29026.959</v>
      </c>
      <c r="Q85" s="16"/>
    </row>
    <row r="86" spans="3:17" ht="15.75" customHeight="1">
      <c r="C86" s="5" t="s">
        <v>700</v>
      </c>
      <c r="D86" s="39" t="s">
        <v>153</v>
      </c>
      <c r="E86" s="306">
        <v>6.25</v>
      </c>
      <c r="F86" s="110"/>
      <c r="G86" s="41">
        <v>35479</v>
      </c>
      <c r="H86" s="41">
        <v>39128</v>
      </c>
      <c r="I86" s="70"/>
      <c r="J86" s="2"/>
      <c r="K86" s="25" t="s">
        <v>932</v>
      </c>
      <c r="L86" s="31">
        <v>13103.678</v>
      </c>
      <c r="M86" s="16"/>
      <c r="N86" s="40">
        <v>0</v>
      </c>
      <c r="O86" s="21"/>
      <c r="P86" s="31">
        <f t="shared" si="3"/>
        <v>13103.678</v>
      </c>
      <c r="Q86" s="16"/>
    </row>
    <row r="87" spans="3:17" ht="15.75" customHeight="1">
      <c r="C87" s="96" t="s">
        <v>911</v>
      </c>
      <c r="D87" s="39" t="s">
        <v>163</v>
      </c>
      <c r="E87" s="306">
        <v>2.25</v>
      </c>
      <c r="F87" s="110"/>
      <c r="G87" s="41">
        <v>38034</v>
      </c>
      <c r="H87" s="41">
        <v>39128</v>
      </c>
      <c r="I87" s="37"/>
      <c r="J87" s="2"/>
      <c r="K87" s="25" t="s">
        <v>932</v>
      </c>
      <c r="L87" s="31">
        <v>25469.287</v>
      </c>
      <c r="M87" s="16"/>
      <c r="N87" s="40">
        <v>0</v>
      </c>
      <c r="O87" s="21"/>
      <c r="P87" s="31">
        <f>L87+N87</f>
        <v>25469.287</v>
      </c>
      <c r="Q87" s="16"/>
    </row>
    <row r="88" spans="3:17" ht="15.75" customHeight="1">
      <c r="C88" s="5" t="s">
        <v>983</v>
      </c>
      <c r="D88" s="39" t="s">
        <v>155</v>
      </c>
      <c r="E88" s="306">
        <v>3.375</v>
      </c>
      <c r="F88" s="110"/>
      <c r="G88" s="41">
        <v>38411</v>
      </c>
      <c r="H88" s="41">
        <v>39141</v>
      </c>
      <c r="I88" s="37"/>
      <c r="J88" s="2"/>
      <c r="K88" s="25" t="s">
        <v>763</v>
      </c>
      <c r="L88" s="31">
        <v>32007.046</v>
      </c>
      <c r="M88" s="16"/>
      <c r="N88" s="40">
        <v>0</v>
      </c>
      <c r="O88" s="21"/>
      <c r="P88" s="31">
        <f>L88+N88</f>
        <v>32007.046</v>
      </c>
      <c r="Q88" s="16"/>
    </row>
    <row r="89" spans="3:17" ht="15.75" customHeight="1">
      <c r="C89" s="5" t="s">
        <v>7</v>
      </c>
      <c r="D89" s="39" t="s">
        <v>157</v>
      </c>
      <c r="E89" s="306">
        <v>3.75</v>
      </c>
      <c r="F89" s="110"/>
      <c r="G89" s="41">
        <v>38442</v>
      </c>
      <c r="H89" s="41">
        <v>39172</v>
      </c>
      <c r="I89" s="37"/>
      <c r="J89" s="2"/>
      <c r="K89" s="25" t="s">
        <v>126</v>
      </c>
      <c r="L89" s="31">
        <v>32000.981</v>
      </c>
      <c r="M89" s="16"/>
      <c r="N89" s="40">
        <v>0</v>
      </c>
      <c r="O89" s="21"/>
      <c r="P89" s="31">
        <f>L89+N89</f>
        <v>32000.981</v>
      </c>
      <c r="Q89" s="16"/>
    </row>
    <row r="90" spans="3:17" ht="15.75" customHeight="1">
      <c r="C90" s="5" t="s">
        <v>467</v>
      </c>
      <c r="D90" s="39" t="s">
        <v>159</v>
      </c>
      <c r="E90" s="306">
        <v>3.625</v>
      </c>
      <c r="F90" s="110"/>
      <c r="G90" s="41">
        <v>38474</v>
      </c>
      <c r="H90" s="41">
        <v>39202</v>
      </c>
      <c r="I90" s="37"/>
      <c r="J90" s="2"/>
      <c r="K90" s="25" t="s">
        <v>125</v>
      </c>
      <c r="L90" s="31">
        <v>31997.895</v>
      </c>
      <c r="M90" s="16"/>
      <c r="N90" s="40">
        <v>0</v>
      </c>
      <c r="O90" s="21"/>
      <c r="P90" s="31">
        <f>L90+N90</f>
        <v>31997.895</v>
      </c>
      <c r="Q90" s="16"/>
    </row>
    <row r="91" spans="3:17" ht="15.75" customHeight="1">
      <c r="C91" s="5" t="s">
        <v>115</v>
      </c>
      <c r="D91" s="39" t="s">
        <v>160</v>
      </c>
      <c r="E91" s="306">
        <v>6.625</v>
      </c>
      <c r="F91" s="110"/>
      <c r="G91" s="41">
        <v>35565</v>
      </c>
      <c r="H91" s="41">
        <v>39217</v>
      </c>
      <c r="I91" s="70"/>
      <c r="J91" s="2"/>
      <c r="K91" s="25" t="s">
        <v>933</v>
      </c>
      <c r="L91" s="31">
        <v>13958.186</v>
      </c>
      <c r="M91" s="16"/>
      <c r="N91" s="40">
        <v>0</v>
      </c>
      <c r="O91" s="21"/>
      <c r="P91" s="31">
        <f t="shared" si="3"/>
        <v>13958.186</v>
      </c>
      <c r="Q91" s="16"/>
    </row>
    <row r="92" spans="3:17" ht="15.75" customHeight="1">
      <c r="C92" s="5" t="s">
        <v>226</v>
      </c>
      <c r="D92" s="39" t="s">
        <v>1043</v>
      </c>
      <c r="E92" s="306">
        <v>4.375</v>
      </c>
      <c r="F92" s="110"/>
      <c r="G92" s="41">
        <v>37391</v>
      </c>
      <c r="H92" s="41">
        <v>39217</v>
      </c>
      <c r="I92" s="70"/>
      <c r="J92" s="2"/>
      <c r="K92" s="25" t="s">
        <v>933</v>
      </c>
      <c r="L92" s="31">
        <v>24351.431</v>
      </c>
      <c r="M92" s="16"/>
      <c r="N92" s="40">
        <v>0</v>
      </c>
      <c r="O92" s="21"/>
      <c r="P92" s="31">
        <f t="shared" si="3"/>
        <v>24351.431</v>
      </c>
      <c r="Q92" s="16"/>
    </row>
    <row r="93" spans="3:17" ht="15.75" customHeight="1">
      <c r="C93" s="5" t="s">
        <v>984</v>
      </c>
      <c r="D93" s="39" t="s">
        <v>1045</v>
      </c>
      <c r="E93" s="306">
        <v>3.125</v>
      </c>
      <c r="F93" s="110"/>
      <c r="G93" s="41">
        <v>38124</v>
      </c>
      <c r="H93" s="41">
        <v>39217</v>
      </c>
      <c r="I93" s="70"/>
      <c r="J93" s="2"/>
      <c r="K93" s="25" t="s">
        <v>933</v>
      </c>
      <c r="L93" s="31">
        <v>27564.268</v>
      </c>
      <c r="M93" s="16"/>
      <c r="N93" s="40">
        <v>0</v>
      </c>
      <c r="O93" s="21"/>
      <c r="P93" s="31">
        <f>L93+N93</f>
        <v>27564.268</v>
      </c>
      <c r="Q93" s="16"/>
    </row>
    <row r="94" spans="3:17" ht="15.75" customHeight="1">
      <c r="C94" s="5" t="s">
        <v>476</v>
      </c>
      <c r="D94" s="39" t="s">
        <v>161</v>
      </c>
      <c r="E94" s="306">
        <v>3.5</v>
      </c>
      <c r="F94" s="110"/>
      <c r="G94" s="41">
        <v>38503</v>
      </c>
      <c r="H94" s="41">
        <v>39233</v>
      </c>
      <c r="I94" s="70"/>
      <c r="J94" s="2"/>
      <c r="K94" s="25" t="s">
        <v>930</v>
      </c>
      <c r="L94" s="31">
        <v>29119.184</v>
      </c>
      <c r="M94" s="16"/>
      <c r="N94" s="40">
        <v>0</v>
      </c>
      <c r="O94" s="21"/>
      <c r="P94" s="31">
        <f>L94+N94</f>
        <v>29119.184</v>
      </c>
      <c r="Q94" s="16"/>
    </row>
    <row r="95" spans="3:17" ht="15.75" customHeight="1">
      <c r="C95" s="5" t="s">
        <v>219</v>
      </c>
      <c r="D95" s="39" t="s">
        <v>162</v>
      </c>
      <c r="E95" s="306">
        <v>3.625</v>
      </c>
      <c r="F95" s="110"/>
      <c r="G95" s="41">
        <v>38533</v>
      </c>
      <c r="H95" s="41">
        <v>39263</v>
      </c>
      <c r="I95" s="70"/>
      <c r="J95" s="2"/>
      <c r="K95" s="25" t="s">
        <v>931</v>
      </c>
      <c r="L95" s="31">
        <v>26664.251</v>
      </c>
      <c r="M95" s="16"/>
      <c r="N95" s="40">
        <v>0</v>
      </c>
      <c r="O95" s="21"/>
      <c r="P95" s="31">
        <f>L95+N95</f>
        <v>26664.251</v>
      </c>
      <c r="Q95" s="16"/>
    </row>
    <row r="96" spans="3:17" ht="15.75" customHeight="1">
      <c r="C96" s="96" t="s">
        <v>227</v>
      </c>
      <c r="D96" s="39" t="s">
        <v>165</v>
      </c>
      <c r="E96" s="306">
        <v>6.125</v>
      </c>
      <c r="F96" s="110"/>
      <c r="G96" s="41">
        <v>35657</v>
      </c>
      <c r="H96" s="41">
        <v>39309</v>
      </c>
      <c r="I96" s="70"/>
      <c r="J96" s="2"/>
      <c r="K96" s="25" t="s">
        <v>1015</v>
      </c>
      <c r="L96" s="31">
        <v>25636.803</v>
      </c>
      <c r="M96" s="16"/>
      <c r="N96" s="40">
        <v>0</v>
      </c>
      <c r="O96" s="21"/>
      <c r="P96" s="31">
        <f t="shared" si="3"/>
        <v>25636.803</v>
      </c>
      <c r="Q96" s="16"/>
    </row>
    <row r="97" spans="3:17" ht="15.75" customHeight="1">
      <c r="C97" s="5" t="s">
        <v>789</v>
      </c>
      <c r="D97" s="39" t="s">
        <v>149</v>
      </c>
      <c r="E97" s="306">
        <v>3.25</v>
      </c>
      <c r="F97" s="110"/>
      <c r="G97" s="41">
        <v>37483</v>
      </c>
      <c r="H97" s="41">
        <v>39309</v>
      </c>
      <c r="I97" s="70"/>
      <c r="J97" s="2"/>
      <c r="K97" s="25" t="s">
        <v>1015</v>
      </c>
      <c r="L97" s="31">
        <v>25410.844</v>
      </c>
      <c r="M97" s="16"/>
      <c r="N97" s="40">
        <v>0</v>
      </c>
      <c r="O97" s="21"/>
      <c r="P97" s="31">
        <f t="shared" si="3"/>
        <v>25410.844</v>
      </c>
      <c r="Q97" s="16"/>
    </row>
    <row r="98" spans="3:17" ht="15.75" customHeight="1">
      <c r="C98" s="5" t="s">
        <v>985</v>
      </c>
      <c r="D98" s="39" t="s">
        <v>1016</v>
      </c>
      <c r="E98" s="306">
        <v>2.75</v>
      </c>
      <c r="F98" s="110"/>
      <c r="G98" s="41">
        <v>38215</v>
      </c>
      <c r="H98" s="41">
        <v>39309</v>
      </c>
      <c r="I98" s="70"/>
      <c r="J98" s="2"/>
      <c r="K98" s="25" t="s">
        <v>1015</v>
      </c>
      <c r="L98" s="31">
        <v>24673.687</v>
      </c>
      <c r="M98" s="16"/>
      <c r="N98" s="40">
        <v>0</v>
      </c>
      <c r="O98" s="21"/>
      <c r="P98" s="31">
        <f>L98+N98</f>
        <v>24673.687</v>
      </c>
      <c r="Q98" s="16"/>
    </row>
    <row r="99" spans="3:17" ht="15.75" customHeight="1">
      <c r="C99" s="5" t="s">
        <v>986</v>
      </c>
      <c r="D99" s="39" t="s">
        <v>158</v>
      </c>
      <c r="E99" s="306">
        <v>3</v>
      </c>
      <c r="F99" s="110"/>
      <c r="G99" s="41">
        <v>37575</v>
      </c>
      <c r="H99" s="41">
        <v>39401</v>
      </c>
      <c r="I99" s="70"/>
      <c r="J99" s="2"/>
      <c r="K99" s="25" t="s">
        <v>154</v>
      </c>
      <c r="L99" s="31">
        <v>50619.528</v>
      </c>
      <c r="M99" s="16"/>
      <c r="N99" s="40">
        <v>0</v>
      </c>
      <c r="O99" s="21"/>
      <c r="P99" s="31">
        <f t="shared" si="3"/>
        <v>50619.528</v>
      </c>
      <c r="Q99" s="16"/>
    </row>
    <row r="100" spans="3:17" ht="15.75" customHeight="1">
      <c r="C100" s="96" t="s">
        <v>1024</v>
      </c>
      <c r="D100" s="39" t="s">
        <v>153</v>
      </c>
      <c r="E100" s="306">
        <v>5.5</v>
      </c>
      <c r="F100" s="110"/>
      <c r="G100" s="41">
        <v>35843</v>
      </c>
      <c r="H100" s="41">
        <v>39493</v>
      </c>
      <c r="I100" s="70"/>
      <c r="J100" s="2"/>
      <c r="K100" s="25" t="s">
        <v>932</v>
      </c>
      <c r="L100" s="31">
        <v>13583.412</v>
      </c>
      <c r="M100" s="16"/>
      <c r="N100" s="40">
        <v>0</v>
      </c>
      <c r="O100" s="21"/>
      <c r="P100" s="31">
        <f t="shared" si="3"/>
        <v>13583.412</v>
      </c>
      <c r="Q100" s="16"/>
    </row>
    <row r="101" spans="3:17" ht="15.75" customHeight="1">
      <c r="C101" s="5" t="s">
        <v>363</v>
      </c>
      <c r="D101" s="39" t="s">
        <v>1043</v>
      </c>
      <c r="E101" s="306">
        <v>3</v>
      </c>
      <c r="F101" s="110"/>
      <c r="G101" s="41">
        <v>37670</v>
      </c>
      <c r="H101" s="41">
        <v>39493</v>
      </c>
      <c r="I101" s="70"/>
      <c r="J101" s="2"/>
      <c r="K101" s="25" t="s">
        <v>932</v>
      </c>
      <c r="L101" s="31">
        <v>27489.26</v>
      </c>
      <c r="M101" s="16"/>
      <c r="N101" s="40">
        <v>0</v>
      </c>
      <c r="O101" s="21"/>
      <c r="P101" s="31">
        <f t="shared" si="3"/>
        <v>27489.26</v>
      </c>
      <c r="Q101" s="16"/>
    </row>
    <row r="102" spans="3:17" ht="15.75" customHeight="1">
      <c r="C102" s="5" t="s">
        <v>987</v>
      </c>
      <c r="D102" s="39" t="s">
        <v>151</v>
      </c>
      <c r="E102" s="306">
        <v>3.375</v>
      </c>
      <c r="F102" s="110"/>
      <c r="G102" s="41">
        <v>38398</v>
      </c>
      <c r="H102" s="41">
        <v>39493</v>
      </c>
      <c r="I102" s="70"/>
      <c r="J102" s="2"/>
      <c r="K102" s="25" t="s">
        <v>932</v>
      </c>
      <c r="L102" s="31">
        <v>23885.083</v>
      </c>
      <c r="M102" s="16"/>
      <c r="N102" s="40">
        <v>0</v>
      </c>
      <c r="O102" s="21"/>
      <c r="P102" s="31">
        <f>L102+N102</f>
        <v>23885.083</v>
      </c>
      <c r="Q102" s="16"/>
    </row>
    <row r="103" spans="3:17" ht="15.75" customHeight="1">
      <c r="C103" s="5" t="s">
        <v>1026</v>
      </c>
      <c r="D103" s="39" t="s">
        <v>160</v>
      </c>
      <c r="E103" s="306">
        <v>5.625</v>
      </c>
      <c r="F103" s="110"/>
      <c r="G103" s="41">
        <v>35930</v>
      </c>
      <c r="H103" s="41">
        <v>39583</v>
      </c>
      <c r="I103" s="70"/>
      <c r="J103" s="2"/>
      <c r="K103" s="25" t="s">
        <v>933</v>
      </c>
      <c r="L103" s="31">
        <v>27190.961</v>
      </c>
      <c r="M103" s="16"/>
      <c r="N103" s="40">
        <v>0</v>
      </c>
      <c r="O103" s="21"/>
      <c r="P103" s="31">
        <f t="shared" si="3"/>
        <v>27190.961</v>
      </c>
      <c r="Q103" s="16"/>
    </row>
    <row r="104" spans="3:17" ht="15.75" customHeight="1">
      <c r="C104" s="5" t="s">
        <v>231</v>
      </c>
      <c r="D104" s="39" t="s">
        <v>149</v>
      </c>
      <c r="E104" s="306">
        <v>2.625</v>
      </c>
      <c r="F104" s="110"/>
      <c r="G104" s="41">
        <v>37756</v>
      </c>
      <c r="H104" s="41">
        <v>39583</v>
      </c>
      <c r="I104" s="70"/>
      <c r="J104" s="2"/>
      <c r="K104" s="25" t="s">
        <v>933</v>
      </c>
      <c r="L104" s="31">
        <v>33338.446</v>
      </c>
      <c r="M104" s="16"/>
      <c r="N104" s="40">
        <v>0</v>
      </c>
      <c r="O104" s="21"/>
      <c r="P104" s="31">
        <f t="shared" si="3"/>
        <v>33338.446</v>
      </c>
      <c r="Q104" s="16"/>
    </row>
    <row r="105" spans="3:17" ht="15.75" customHeight="1">
      <c r="C105" s="5" t="s">
        <v>470</v>
      </c>
      <c r="D105" s="39" t="s">
        <v>155</v>
      </c>
      <c r="E105" s="306">
        <v>3.75</v>
      </c>
      <c r="F105" s="110"/>
      <c r="G105" s="41">
        <v>38488</v>
      </c>
      <c r="H105" s="41">
        <v>39583</v>
      </c>
      <c r="I105" s="70"/>
      <c r="J105" s="2"/>
      <c r="K105" s="25" t="s">
        <v>933</v>
      </c>
      <c r="L105" s="31">
        <v>26707.681</v>
      </c>
      <c r="M105" s="16"/>
      <c r="N105" s="40">
        <v>0</v>
      </c>
      <c r="O105" s="21"/>
      <c r="P105" s="31">
        <f t="shared" si="3"/>
        <v>26707.681</v>
      </c>
      <c r="Q105" s="16"/>
    </row>
    <row r="106" spans="3:17" ht="15.75" customHeight="1">
      <c r="C106" s="5" t="s">
        <v>988</v>
      </c>
      <c r="D106" s="39" t="s">
        <v>158</v>
      </c>
      <c r="E106" s="306">
        <v>3.25</v>
      </c>
      <c r="F106" s="110"/>
      <c r="G106" s="41">
        <v>37848</v>
      </c>
      <c r="H106" s="41">
        <v>39675</v>
      </c>
      <c r="I106" s="70"/>
      <c r="J106" s="2"/>
      <c r="K106" s="25" t="s">
        <v>1015</v>
      </c>
      <c r="L106" s="31">
        <v>21357.474</v>
      </c>
      <c r="M106" s="16"/>
      <c r="N106" s="40">
        <v>0</v>
      </c>
      <c r="O106" s="21"/>
      <c r="P106" s="31">
        <f>L106</f>
        <v>21357.474</v>
      </c>
      <c r="Q106" s="16"/>
    </row>
    <row r="107" spans="3:17" ht="15.75" customHeight="1">
      <c r="C107" s="5" t="s">
        <v>989</v>
      </c>
      <c r="D107" s="39" t="s">
        <v>163</v>
      </c>
      <c r="E107" s="306">
        <v>3.125</v>
      </c>
      <c r="F107" s="110"/>
      <c r="G107" s="41">
        <v>37879</v>
      </c>
      <c r="H107" s="41">
        <v>39706</v>
      </c>
      <c r="I107" s="70"/>
      <c r="J107" s="2"/>
      <c r="K107" s="25" t="s">
        <v>207</v>
      </c>
      <c r="L107" s="31">
        <v>16002.177</v>
      </c>
      <c r="M107" s="16"/>
      <c r="N107" s="40">
        <v>0</v>
      </c>
      <c r="O107" s="21"/>
      <c r="P107" s="31">
        <f>L107</f>
        <v>16002.177</v>
      </c>
      <c r="Q107" s="16"/>
    </row>
    <row r="108" spans="3:17" ht="15.75" customHeight="1">
      <c r="C108" s="5" t="s">
        <v>990</v>
      </c>
      <c r="D108" s="39" t="s">
        <v>1045</v>
      </c>
      <c r="E108" s="306">
        <v>3.125</v>
      </c>
      <c r="F108" s="110"/>
      <c r="G108" s="41">
        <v>37909</v>
      </c>
      <c r="H108" s="41">
        <v>39736</v>
      </c>
      <c r="I108" s="37"/>
      <c r="J108" s="2"/>
      <c r="K108" s="25" t="s">
        <v>150</v>
      </c>
      <c r="L108" s="31">
        <v>15995.702</v>
      </c>
      <c r="M108" s="16"/>
      <c r="N108" s="40">
        <v>0</v>
      </c>
      <c r="O108" s="21"/>
      <c r="P108" s="31">
        <f>L108</f>
        <v>15995.702</v>
      </c>
      <c r="Q108" s="16"/>
    </row>
    <row r="109" spans="3:17" ht="15.75" customHeight="1">
      <c r="C109" s="96" t="s">
        <v>232</v>
      </c>
      <c r="D109" s="39" t="s">
        <v>165</v>
      </c>
      <c r="E109" s="306">
        <v>4.75</v>
      </c>
      <c r="F109" s="110"/>
      <c r="G109" s="41">
        <v>36115</v>
      </c>
      <c r="H109" s="41">
        <v>39767</v>
      </c>
      <c r="I109" s="70"/>
      <c r="J109" s="2"/>
      <c r="K109" s="25" t="s">
        <v>154</v>
      </c>
      <c r="L109" s="31">
        <v>25083.125</v>
      </c>
      <c r="M109" s="16"/>
      <c r="N109" s="40">
        <v>0</v>
      </c>
      <c r="O109" s="21"/>
      <c r="P109" s="31">
        <f aca="true" t="shared" si="4" ref="P109:P114">L109+N109</f>
        <v>25083.125</v>
      </c>
      <c r="Q109" s="16"/>
    </row>
    <row r="110" spans="3:17" ht="15.75" customHeight="1">
      <c r="C110" s="5" t="s">
        <v>701</v>
      </c>
      <c r="D110" s="39" t="s">
        <v>1016</v>
      </c>
      <c r="E110" s="306">
        <v>3.375</v>
      </c>
      <c r="F110" s="110"/>
      <c r="G110" s="41">
        <v>37942</v>
      </c>
      <c r="H110" s="41">
        <v>39767</v>
      </c>
      <c r="I110" s="70"/>
      <c r="J110" s="2"/>
      <c r="K110" s="25" t="s">
        <v>154</v>
      </c>
      <c r="L110" s="31">
        <v>18181.033</v>
      </c>
      <c r="M110" s="16"/>
      <c r="N110" s="40">
        <v>0</v>
      </c>
      <c r="O110" s="21"/>
      <c r="P110" s="31">
        <f t="shared" si="4"/>
        <v>18181.033</v>
      </c>
      <c r="Q110" s="16"/>
    </row>
    <row r="111" spans="3:17" ht="15.75" customHeight="1">
      <c r="C111" s="5" t="s">
        <v>991</v>
      </c>
      <c r="D111" s="39" t="s">
        <v>1017</v>
      </c>
      <c r="E111" s="306">
        <v>3.375</v>
      </c>
      <c r="F111" s="110"/>
      <c r="G111" s="41">
        <v>37970</v>
      </c>
      <c r="H111" s="41">
        <v>39797</v>
      </c>
      <c r="I111" s="70"/>
      <c r="J111" s="2"/>
      <c r="K111" s="25" t="s">
        <v>191</v>
      </c>
      <c r="L111" s="31">
        <v>16000.028</v>
      </c>
      <c r="M111" s="16"/>
      <c r="N111" s="40">
        <v>0</v>
      </c>
      <c r="O111" s="21"/>
      <c r="P111" s="31">
        <f t="shared" si="4"/>
        <v>16000.028</v>
      </c>
      <c r="Q111" s="16"/>
    </row>
    <row r="112" spans="3:17" ht="15.75" customHeight="1">
      <c r="C112" s="5" t="s">
        <v>992</v>
      </c>
      <c r="D112" s="39" t="s">
        <v>165</v>
      </c>
      <c r="E112" s="306">
        <v>3.25</v>
      </c>
      <c r="F112" s="110"/>
      <c r="G112" s="41">
        <v>38001</v>
      </c>
      <c r="H112" s="41">
        <v>39828</v>
      </c>
      <c r="I112" s="70"/>
      <c r="J112" s="2"/>
      <c r="K112" s="25" t="s">
        <v>228</v>
      </c>
      <c r="L112" s="31">
        <v>16002.546</v>
      </c>
      <c r="M112" s="16"/>
      <c r="N112" s="40">
        <v>0</v>
      </c>
      <c r="O112" s="21"/>
      <c r="P112" s="31">
        <f t="shared" si="4"/>
        <v>16002.546</v>
      </c>
      <c r="Q112" s="16"/>
    </row>
    <row r="113" spans="3:17" ht="15.75" customHeight="1">
      <c r="C113" s="5" t="s">
        <v>993</v>
      </c>
      <c r="D113" s="39" t="s">
        <v>1043</v>
      </c>
      <c r="E113" s="306">
        <v>3</v>
      </c>
      <c r="F113" s="110"/>
      <c r="G113" s="41">
        <v>38034</v>
      </c>
      <c r="H113" s="41">
        <v>39859</v>
      </c>
      <c r="I113" s="70"/>
      <c r="J113" s="2"/>
      <c r="K113" s="25" t="s">
        <v>932</v>
      </c>
      <c r="L113" s="31">
        <v>17433.763</v>
      </c>
      <c r="M113" s="16"/>
      <c r="N113" s="40">
        <v>0</v>
      </c>
      <c r="O113" s="21"/>
      <c r="P113" s="31">
        <f t="shared" si="4"/>
        <v>17433.763</v>
      </c>
      <c r="Q113" s="16"/>
    </row>
    <row r="114" spans="3:17" ht="15.75" customHeight="1">
      <c r="C114" s="5" t="s">
        <v>994</v>
      </c>
      <c r="D114" s="39" t="s">
        <v>149</v>
      </c>
      <c r="E114" s="306">
        <v>2.625</v>
      </c>
      <c r="F114" s="110"/>
      <c r="G114" s="41">
        <v>38061</v>
      </c>
      <c r="H114" s="41">
        <v>39887</v>
      </c>
      <c r="I114" s="70"/>
      <c r="J114" s="2"/>
      <c r="K114" s="25" t="s">
        <v>762</v>
      </c>
      <c r="L114" s="31">
        <v>16001.063</v>
      </c>
      <c r="M114" s="16"/>
      <c r="N114" s="40">
        <v>0</v>
      </c>
      <c r="O114" s="21"/>
      <c r="P114" s="31">
        <f t="shared" si="4"/>
        <v>16001.063</v>
      </c>
      <c r="Q114" s="16"/>
    </row>
    <row r="115" spans="3:17" ht="15.75" customHeight="1">
      <c r="C115" s="5" t="s">
        <v>995</v>
      </c>
      <c r="D115" s="39" t="s">
        <v>158</v>
      </c>
      <c r="E115" s="306">
        <v>3.125</v>
      </c>
      <c r="F115" s="110"/>
      <c r="G115" s="41">
        <v>38092</v>
      </c>
      <c r="H115" s="41">
        <v>39918</v>
      </c>
      <c r="I115" s="70"/>
      <c r="J115" s="2"/>
      <c r="K115" s="25" t="s">
        <v>934</v>
      </c>
      <c r="L115" s="31">
        <v>16002.805</v>
      </c>
      <c r="M115" s="16"/>
      <c r="N115" s="40">
        <v>0</v>
      </c>
      <c r="O115" s="21"/>
      <c r="P115" s="31">
        <f aca="true" t="shared" si="5" ref="P115:P120">L115+N115</f>
        <v>16002.805</v>
      </c>
      <c r="Q115" s="16"/>
    </row>
    <row r="116" spans="3:17" ht="15.75" customHeight="1">
      <c r="C116" s="96" t="s">
        <v>702</v>
      </c>
      <c r="D116" s="39" t="s">
        <v>153</v>
      </c>
      <c r="E116" s="306">
        <v>5.5</v>
      </c>
      <c r="F116" s="110"/>
      <c r="G116" s="41">
        <v>36297</v>
      </c>
      <c r="H116" s="41">
        <v>39948</v>
      </c>
      <c r="I116" s="70"/>
      <c r="J116" s="2"/>
      <c r="K116" s="25" t="s">
        <v>933</v>
      </c>
      <c r="L116" s="31">
        <v>14794.79</v>
      </c>
      <c r="M116" s="16"/>
      <c r="N116" s="40">
        <v>0</v>
      </c>
      <c r="O116" s="21"/>
      <c r="P116" s="31">
        <f t="shared" si="5"/>
        <v>14794.79</v>
      </c>
      <c r="Q116" s="16"/>
    </row>
    <row r="117" spans="3:17" ht="15.75" customHeight="1">
      <c r="C117" s="96" t="s">
        <v>172</v>
      </c>
      <c r="D117" s="39" t="s">
        <v>163</v>
      </c>
      <c r="E117" s="306">
        <v>3.875</v>
      </c>
      <c r="F117" s="110"/>
      <c r="G117" s="41">
        <v>38124</v>
      </c>
      <c r="H117" s="41">
        <v>39948</v>
      </c>
      <c r="I117" s="70"/>
      <c r="J117" s="2"/>
      <c r="K117" s="25" t="s">
        <v>933</v>
      </c>
      <c r="L117" s="31">
        <v>18059.937</v>
      </c>
      <c r="M117" s="16"/>
      <c r="N117" s="40">
        <v>0</v>
      </c>
      <c r="O117" s="21"/>
      <c r="P117" s="31">
        <f t="shared" si="5"/>
        <v>18059.937</v>
      </c>
      <c r="Q117" s="16"/>
    </row>
    <row r="118" spans="3:17" ht="15.75" customHeight="1">
      <c r="C118" s="5" t="s">
        <v>996</v>
      </c>
      <c r="D118" s="39" t="s">
        <v>1045</v>
      </c>
      <c r="E118" s="306">
        <v>4</v>
      </c>
      <c r="F118" s="110"/>
      <c r="G118" s="41">
        <v>38153</v>
      </c>
      <c r="H118" s="41">
        <v>39979</v>
      </c>
      <c r="I118" s="37"/>
      <c r="J118" s="2"/>
      <c r="K118" s="25" t="s">
        <v>247</v>
      </c>
      <c r="L118" s="31">
        <v>15004.754</v>
      </c>
      <c r="M118" s="16"/>
      <c r="N118" s="40">
        <v>0</v>
      </c>
      <c r="O118" s="21"/>
      <c r="P118" s="31">
        <f t="shared" si="5"/>
        <v>15004.754</v>
      </c>
      <c r="Q118" s="16"/>
    </row>
    <row r="119" spans="3:17" ht="15.75" customHeight="1">
      <c r="C119" s="5" t="s">
        <v>997</v>
      </c>
      <c r="D119" s="39" t="s">
        <v>1016</v>
      </c>
      <c r="E119" s="306">
        <v>3.625</v>
      </c>
      <c r="F119" s="110"/>
      <c r="G119" s="41">
        <v>38183</v>
      </c>
      <c r="H119" s="41">
        <v>40009</v>
      </c>
      <c r="I119" s="37"/>
      <c r="J119" s="2"/>
      <c r="K119" s="25" t="s">
        <v>1044</v>
      </c>
      <c r="L119" s="31">
        <v>15004.962</v>
      </c>
      <c r="M119" s="16"/>
      <c r="N119" s="40">
        <v>0</v>
      </c>
      <c r="O119" s="21"/>
      <c r="P119" s="31">
        <f t="shared" si="5"/>
        <v>15004.962</v>
      </c>
      <c r="Q119" s="16"/>
    </row>
    <row r="120" spans="3:17" ht="15.75" customHeight="1">
      <c r="C120" s="5" t="s">
        <v>173</v>
      </c>
      <c r="D120" s="39" t="s">
        <v>160</v>
      </c>
      <c r="E120" s="306">
        <v>6</v>
      </c>
      <c r="F120" s="110"/>
      <c r="G120" s="41">
        <v>36388</v>
      </c>
      <c r="H120" s="41">
        <v>40040</v>
      </c>
      <c r="I120" s="70"/>
      <c r="J120" s="2"/>
      <c r="K120" s="25" t="s">
        <v>1015</v>
      </c>
      <c r="L120" s="31">
        <v>27399.894</v>
      </c>
      <c r="M120" s="16"/>
      <c r="N120" s="40">
        <v>0</v>
      </c>
      <c r="O120" s="21"/>
      <c r="P120" s="31">
        <f t="shared" si="5"/>
        <v>27399.894</v>
      </c>
      <c r="Q120" s="16"/>
    </row>
    <row r="121" spans="3:17" ht="15.75" customHeight="1">
      <c r="C121" s="5" t="s">
        <v>683</v>
      </c>
      <c r="D121" s="39" t="s">
        <v>1017</v>
      </c>
      <c r="E121" s="306">
        <v>3.5</v>
      </c>
      <c r="F121" s="110"/>
      <c r="G121" s="41">
        <v>38215</v>
      </c>
      <c r="H121" s="41">
        <v>40040</v>
      </c>
      <c r="I121" s="70"/>
      <c r="J121" s="2"/>
      <c r="K121" s="25" t="s">
        <v>1015</v>
      </c>
      <c r="L121" s="31">
        <v>17294.686</v>
      </c>
      <c r="M121" s="16"/>
      <c r="N121" s="40">
        <v>0</v>
      </c>
      <c r="O121" s="21"/>
      <c r="P121" s="31">
        <f aca="true" t="shared" si="6" ref="P121:P126">L121+N121</f>
        <v>17294.686</v>
      </c>
      <c r="Q121" s="16"/>
    </row>
    <row r="122" spans="3:17" ht="15.75" customHeight="1">
      <c r="C122" s="5" t="s">
        <v>998</v>
      </c>
      <c r="D122" s="39" t="s">
        <v>151</v>
      </c>
      <c r="E122" s="306">
        <v>3.375</v>
      </c>
      <c r="F122" s="110"/>
      <c r="G122" s="41">
        <v>38245</v>
      </c>
      <c r="H122" s="41">
        <v>40071</v>
      </c>
      <c r="I122" s="37"/>
      <c r="J122" s="2"/>
      <c r="K122" s="25" t="s">
        <v>207</v>
      </c>
      <c r="L122" s="31">
        <v>15005.079</v>
      </c>
      <c r="M122" s="16"/>
      <c r="N122" s="40">
        <v>0</v>
      </c>
      <c r="O122" s="21"/>
      <c r="P122" s="31">
        <f t="shared" si="6"/>
        <v>15005.079</v>
      </c>
      <c r="Q122" s="16"/>
    </row>
    <row r="123" spans="3:17" ht="15.75" customHeight="1">
      <c r="C123" s="5" t="s">
        <v>999</v>
      </c>
      <c r="D123" s="39" t="s">
        <v>155</v>
      </c>
      <c r="E123" s="306">
        <v>3.375</v>
      </c>
      <c r="F123" s="110"/>
      <c r="G123" s="41">
        <v>38275</v>
      </c>
      <c r="H123" s="41">
        <v>40101</v>
      </c>
      <c r="I123" s="37"/>
      <c r="J123" s="2"/>
      <c r="K123" s="25" t="s">
        <v>150</v>
      </c>
      <c r="L123" s="31">
        <v>15005.091</v>
      </c>
      <c r="M123" s="16"/>
      <c r="N123" s="40">
        <v>0</v>
      </c>
      <c r="O123" s="21"/>
      <c r="P123" s="31">
        <f t="shared" si="6"/>
        <v>15005.091</v>
      </c>
      <c r="Q123" s="16"/>
    </row>
    <row r="124" spans="3:17" ht="15.75" customHeight="1">
      <c r="C124" s="5" t="s">
        <v>1000</v>
      </c>
      <c r="D124" s="39" t="s">
        <v>157</v>
      </c>
      <c r="E124" s="306">
        <v>3.5</v>
      </c>
      <c r="F124" s="110"/>
      <c r="G124" s="41">
        <v>38306</v>
      </c>
      <c r="H124" s="41">
        <v>40132</v>
      </c>
      <c r="I124" s="37"/>
      <c r="J124" s="2"/>
      <c r="K124" s="25" t="s">
        <v>154</v>
      </c>
      <c r="L124" s="31">
        <v>18751.928</v>
      </c>
      <c r="M124" s="16"/>
      <c r="N124" s="40">
        <v>0</v>
      </c>
      <c r="O124" s="21"/>
      <c r="P124" s="31">
        <f t="shared" si="6"/>
        <v>18751.928</v>
      </c>
      <c r="Q124" s="16"/>
    </row>
    <row r="125" spans="3:17" ht="15.75" customHeight="1">
      <c r="C125" s="5" t="s">
        <v>1001</v>
      </c>
      <c r="D125" s="39" t="s">
        <v>159</v>
      </c>
      <c r="E125" s="306">
        <v>3.5</v>
      </c>
      <c r="F125" s="110"/>
      <c r="G125" s="41">
        <v>38336</v>
      </c>
      <c r="H125" s="41">
        <v>40162</v>
      </c>
      <c r="I125" s="37"/>
      <c r="J125" s="2"/>
      <c r="K125" s="25" t="s">
        <v>191</v>
      </c>
      <c r="L125" s="31">
        <v>15002.485</v>
      </c>
      <c r="M125" s="16"/>
      <c r="N125" s="40">
        <v>0</v>
      </c>
      <c r="O125" s="21"/>
      <c r="P125" s="31">
        <f t="shared" si="6"/>
        <v>15002.485</v>
      </c>
      <c r="Q125" s="16"/>
    </row>
    <row r="126" spans="3:17" ht="15.75" customHeight="1">
      <c r="C126" s="5" t="s">
        <v>1002</v>
      </c>
      <c r="D126" s="39" t="s">
        <v>1043</v>
      </c>
      <c r="E126" s="306">
        <v>3.625</v>
      </c>
      <c r="F126" s="110"/>
      <c r="G126" s="41">
        <v>38370</v>
      </c>
      <c r="H126" s="41">
        <v>40193</v>
      </c>
      <c r="I126" s="37"/>
      <c r="J126" s="2"/>
      <c r="K126" s="25" t="s">
        <v>228</v>
      </c>
      <c r="L126" s="31">
        <v>15004.697</v>
      </c>
      <c r="M126" s="16"/>
      <c r="N126" s="40">
        <v>0</v>
      </c>
      <c r="O126" s="21"/>
      <c r="P126" s="31">
        <f t="shared" si="6"/>
        <v>15004.697</v>
      </c>
      <c r="Q126" s="16"/>
    </row>
    <row r="127" spans="3:17" ht="15.75" customHeight="1">
      <c r="C127" s="5" t="s">
        <v>682</v>
      </c>
      <c r="D127" s="39" t="s">
        <v>153</v>
      </c>
      <c r="E127" s="306">
        <v>6.5</v>
      </c>
      <c r="F127" s="110"/>
      <c r="G127" s="41">
        <v>36571</v>
      </c>
      <c r="H127" s="41">
        <v>40224</v>
      </c>
      <c r="I127" s="70"/>
      <c r="J127" s="2"/>
      <c r="K127" s="25" t="s">
        <v>932</v>
      </c>
      <c r="L127" s="31">
        <v>23355.709</v>
      </c>
      <c r="M127" s="16"/>
      <c r="N127" s="40">
        <v>0</v>
      </c>
      <c r="O127" s="21"/>
      <c r="P127" s="31">
        <f aca="true" t="shared" si="7" ref="P127:P135">L127+N127</f>
        <v>23355.709</v>
      </c>
      <c r="Q127" s="16"/>
    </row>
    <row r="128" spans="3:17" ht="15.75" customHeight="1">
      <c r="C128" s="5" t="s">
        <v>359</v>
      </c>
      <c r="D128" s="39" t="s">
        <v>149</v>
      </c>
      <c r="E128" s="306">
        <v>3.5</v>
      </c>
      <c r="F128" s="110"/>
      <c r="G128" s="41">
        <v>38398</v>
      </c>
      <c r="H128" s="41">
        <v>40224</v>
      </c>
      <c r="I128" s="70"/>
      <c r="J128" s="2"/>
      <c r="K128" s="25" t="s">
        <v>932</v>
      </c>
      <c r="L128" s="31">
        <v>16617.068</v>
      </c>
      <c r="M128" s="16"/>
      <c r="N128" s="40">
        <v>0</v>
      </c>
      <c r="O128" s="21"/>
      <c r="P128" s="31">
        <f t="shared" si="7"/>
        <v>16617.068</v>
      </c>
      <c r="Q128" s="16"/>
    </row>
    <row r="129" spans="3:17" ht="15.75" customHeight="1">
      <c r="C129" s="5" t="s">
        <v>14</v>
      </c>
      <c r="D129" s="39" t="s">
        <v>158</v>
      </c>
      <c r="E129" s="306">
        <v>4</v>
      </c>
      <c r="F129" s="110"/>
      <c r="G129" s="41">
        <v>38426</v>
      </c>
      <c r="H129" s="41">
        <v>40252</v>
      </c>
      <c r="I129" s="70"/>
      <c r="J129" s="2"/>
      <c r="K129" s="25" t="s">
        <v>762</v>
      </c>
      <c r="L129" s="31">
        <v>15005.048</v>
      </c>
      <c r="M129" s="16"/>
      <c r="N129" s="40">
        <v>0</v>
      </c>
      <c r="O129" s="21"/>
      <c r="P129" s="31">
        <f t="shared" si="7"/>
        <v>15005.048</v>
      </c>
      <c r="Q129" s="16"/>
    </row>
    <row r="130" spans="3:17" ht="15.75" customHeight="1">
      <c r="C130" s="5" t="s">
        <v>736</v>
      </c>
      <c r="D130" s="39" t="s">
        <v>163</v>
      </c>
      <c r="E130" s="306">
        <v>4</v>
      </c>
      <c r="F130" s="110"/>
      <c r="G130" s="41">
        <v>38457</v>
      </c>
      <c r="H130" s="41">
        <v>40283</v>
      </c>
      <c r="I130" s="70"/>
      <c r="J130" s="2"/>
      <c r="K130" s="25" t="s">
        <v>934</v>
      </c>
      <c r="L130" s="31">
        <v>15001.494</v>
      </c>
      <c r="M130" s="16"/>
      <c r="N130" s="40">
        <v>0</v>
      </c>
      <c r="O130" s="21"/>
      <c r="P130" s="31">
        <f t="shared" si="7"/>
        <v>15001.494</v>
      </c>
      <c r="Q130" s="16"/>
    </row>
    <row r="131" spans="3:17" ht="15.75" customHeight="1">
      <c r="C131" s="5" t="s">
        <v>472</v>
      </c>
      <c r="D131" s="39" t="s">
        <v>1045</v>
      </c>
      <c r="E131" s="306">
        <v>3.875</v>
      </c>
      <c r="F131" s="110"/>
      <c r="G131" s="41">
        <v>38488</v>
      </c>
      <c r="H131" s="41">
        <v>40313</v>
      </c>
      <c r="I131" s="70"/>
      <c r="J131" s="2"/>
      <c r="K131" s="25" t="s">
        <v>933</v>
      </c>
      <c r="L131" s="31">
        <v>18748.844</v>
      </c>
      <c r="M131" s="16"/>
      <c r="N131" s="40">
        <v>0</v>
      </c>
      <c r="O131" s="21"/>
      <c r="P131" s="31">
        <f t="shared" si="7"/>
        <v>18748.844</v>
      </c>
      <c r="Q131" s="16"/>
    </row>
    <row r="132" spans="3:17" ht="15.75" customHeight="1">
      <c r="C132" s="5" t="s">
        <v>216</v>
      </c>
      <c r="D132" s="39" t="s">
        <v>1016</v>
      </c>
      <c r="E132" s="306">
        <v>3.625</v>
      </c>
      <c r="F132" s="110"/>
      <c r="G132" s="41">
        <v>38518</v>
      </c>
      <c r="H132" s="41">
        <v>40344</v>
      </c>
      <c r="I132" s="70"/>
      <c r="J132" s="2"/>
      <c r="K132" s="25" t="s">
        <v>247</v>
      </c>
      <c r="L132" s="31">
        <v>14001.099</v>
      </c>
      <c r="M132" s="16"/>
      <c r="N132" s="40">
        <v>0</v>
      </c>
      <c r="O132" s="21"/>
      <c r="P132" s="31">
        <f>L132+N132</f>
        <v>14001.099</v>
      </c>
      <c r="Q132" s="16"/>
    </row>
    <row r="133" spans="3:17" ht="15.75" customHeight="1">
      <c r="C133" s="5" t="s">
        <v>94</v>
      </c>
      <c r="D133" s="39" t="s">
        <v>1017</v>
      </c>
      <c r="E133" s="306">
        <v>3.875</v>
      </c>
      <c r="F133" s="110"/>
      <c r="G133" s="41">
        <v>38548</v>
      </c>
      <c r="H133" s="41">
        <v>40374</v>
      </c>
      <c r="I133" s="70"/>
      <c r="J133" s="2"/>
      <c r="K133" s="25" t="s">
        <v>1044</v>
      </c>
      <c r="L133" s="31">
        <v>13000.529</v>
      </c>
      <c r="M133" s="16"/>
      <c r="N133" s="40">
        <v>0</v>
      </c>
      <c r="O133" s="21"/>
      <c r="P133" s="31">
        <f>L133+N133</f>
        <v>13000.529</v>
      </c>
      <c r="Q133" s="16"/>
    </row>
    <row r="134" spans="3:17" ht="15.75" customHeight="1">
      <c r="C134" s="5" t="s">
        <v>360</v>
      </c>
      <c r="D134" s="39" t="s">
        <v>160</v>
      </c>
      <c r="E134" s="306">
        <v>5.75</v>
      </c>
      <c r="F134" s="110"/>
      <c r="G134" s="41">
        <v>36753</v>
      </c>
      <c r="H134" s="41">
        <v>40405</v>
      </c>
      <c r="I134" s="70"/>
      <c r="J134" s="2"/>
      <c r="K134" s="25" t="s">
        <v>1015</v>
      </c>
      <c r="L134" s="31">
        <v>22437.594</v>
      </c>
      <c r="M134" s="16"/>
      <c r="N134" s="40">
        <v>0</v>
      </c>
      <c r="O134" s="21"/>
      <c r="P134" s="31">
        <f t="shared" si="7"/>
        <v>22437.594</v>
      </c>
      <c r="Q134" s="16"/>
    </row>
    <row r="135" spans="3:17" ht="15.75" customHeight="1">
      <c r="C135" s="5" t="s">
        <v>635</v>
      </c>
      <c r="D135" s="39" t="s">
        <v>153</v>
      </c>
      <c r="E135" s="306">
        <v>5</v>
      </c>
      <c r="F135" s="110"/>
      <c r="G135" s="41">
        <v>36937</v>
      </c>
      <c r="H135" s="41">
        <v>40589</v>
      </c>
      <c r="I135" s="70"/>
      <c r="J135" s="2"/>
      <c r="K135" s="25" t="s">
        <v>932</v>
      </c>
      <c r="L135" s="31">
        <v>23436.329</v>
      </c>
      <c r="M135" s="16"/>
      <c r="N135" s="40">
        <v>0</v>
      </c>
      <c r="O135" s="21"/>
      <c r="P135" s="31">
        <f t="shared" si="7"/>
        <v>23436.329</v>
      </c>
      <c r="Q135" s="16"/>
    </row>
    <row r="136" spans="3:17" ht="15.75" customHeight="1">
      <c r="C136" s="5" t="s">
        <v>636</v>
      </c>
      <c r="D136" s="39" t="s">
        <v>160</v>
      </c>
      <c r="E136" s="306">
        <v>5</v>
      </c>
      <c r="F136" s="110"/>
      <c r="G136" s="41">
        <v>37118</v>
      </c>
      <c r="H136" s="41">
        <v>40770</v>
      </c>
      <c r="I136" s="70"/>
      <c r="J136" s="2"/>
      <c r="K136" s="25" t="s">
        <v>1015</v>
      </c>
      <c r="L136" s="31">
        <v>26635.316</v>
      </c>
      <c r="M136" s="16"/>
      <c r="N136" s="40">
        <v>0</v>
      </c>
      <c r="O136" s="21"/>
      <c r="P136" s="31">
        <f aca="true" t="shared" si="8" ref="P136:P141">L136+N136</f>
        <v>26635.316</v>
      </c>
      <c r="Q136" s="16"/>
    </row>
    <row r="137" spans="3:17" ht="15.75" customHeight="1">
      <c r="C137" s="5" t="s">
        <v>637</v>
      </c>
      <c r="D137" s="39" t="s">
        <v>153</v>
      </c>
      <c r="E137" s="306">
        <v>4.875</v>
      </c>
      <c r="F137" s="110"/>
      <c r="G137" s="41">
        <v>37302</v>
      </c>
      <c r="H137" s="41">
        <v>40954</v>
      </c>
      <c r="I137" s="70"/>
      <c r="J137" s="2"/>
      <c r="K137" s="25" t="s">
        <v>932</v>
      </c>
      <c r="L137" s="31">
        <v>24779.838</v>
      </c>
      <c r="M137" s="16"/>
      <c r="N137" s="40">
        <v>0</v>
      </c>
      <c r="O137" s="21"/>
      <c r="P137" s="31">
        <f t="shared" si="8"/>
        <v>24779.838</v>
      </c>
      <c r="Q137" s="16"/>
    </row>
    <row r="138" spans="3:17" ht="15.75" customHeight="1">
      <c r="C138" s="5" t="s">
        <v>1025</v>
      </c>
      <c r="D138" s="39" t="s">
        <v>165</v>
      </c>
      <c r="E138" s="306">
        <v>4.375</v>
      </c>
      <c r="F138" s="110"/>
      <c r="G138" s="41">
        <v>37483</v>
      </c>
      <c r="H138" s="41">
        <v>41136</v>
      </c>
      <c r="I138" s="70"/>
      <c r="J138" s="2"/>
      <c r="K138" s="25" t="s">
        <v>1015</v>
      </c>
      <c r="L138" s="31">
        <v>19647.976</v>
      </c>
      <c r="M138" s="16"/>
      <c r="N138" s="40">
        <v>0</v>
      </c>
      <c r="O138" s="21"/>
      <c r="P138" s="31">
        <f t="shared" si="8"/>
        <v>19647.976</v>
      </c>
      <c r="Q138" s="16"/>
    </row>
    <row r="139" spans="3:17" ht="15.75" customHeight="1">
      <c r="C139" s="5" t="s">
        <v>1003</v>
      </c>
      <c r="D139" s="39" t="s">
        <v>1043</v>
      </c>
      <c r="E139" s="306">
        <v>4</v>
      </c>
      <c r="F139" s="110"/>
      <c r="G139" s="41">
        <v>37575</v>
      </c>
      <c r="H139" s="41">
        <v>41228</v>
      </c>
      <c r="I139" s="70"/>
      <c r="J139" s="2"/>
      <c r="K139" s="25" t="s">
        <v>154</v>
      </c>
      <c r="L139" s="31">
        <v>18112.742</v>
      </c>
      <c r="M139" s="16"/>
      <c r="N139" s="40">
        <v>0</v>
      </c>
      <c r="O139" s="21"/>
      <c r="P139" s="31">
        <f t="shared" si="8"/>
        <v>18112.742</v>
      </c>
      <c r="Q139" s="16"/>
    </row>
    <row r="140" spans="3:17" ht="15.75" customHeight="1">
      <c r="C140" s="5" t="s">
        <v>1004</v>
      </c>
      <c r="D140" s="39" t="s">
        <v>1047</v>
      </c>
      <c r="E140" s="306">
        <v>3.875</v>
      </c>
      <c r="F140" s="110"/>
      <c r="G140" s="41">
        <v>37670</v>
      </c>
      <c r="H140" s="41">
        <v>41320</v>
      </c>
      <c r="I140" s="70"/>
      <c r="J140" s="2"/>
      <c r="K140" s="25" t="s">
        <v>932</v>
      </c>
      <c r="L140" s="31">
        <v>19498.396</v>
      </c>
      <c r="M140" s="16"/>
      <c r="N140" s="40">
        <v>0</v>
      </c>
      <c r="O140" s="21"/>
      <c r="P140" s="31">
        <f t="shared" si="8"/>
        <v>19498.396</v>
      </c>
      <c r="Q140" s="16"/>
    </row>
    <row r="141" spans="3:17" ht="15.75" customHeight="1">
      <c r="C141" s="5" t="s">
        <v>1005</v>
      </c>
      <c r="D141" s="39" t="s">
        <v>153</v>
      </c>
      <c r="E141" s="306">
        <v>3.625</v>
      </c>
      <c r="F141" s="110"/>
      <c r="G141" s="41">
        <v>37756</v>
      </c>
      <c r="H141" s="41">
        <v>41409</v>
      </c>
      <c r="I141" s="70"/>
      <c r="J141" s="2"/>
      <c r="K141" s="25" t="s">
        <v>933</v>
      </c>
      <c r="L141" s="31">
        <v>18253.553</v>
      </c>
      <c r="M141" s="16"/>
      <c r="N141" s="40">
        <v>0</v>
      </c>
      <c r="O141" s="21"/>
      <c r="P141" s="31">
        <f t="shared" si="8"/>
        <v>18253.553</v>
      </c>
      <c r="Q141" s="16"/>
    </row>
    <row r="142" spans="3:17" ht="15.75" customHeight="1">
      <c r="C142" s="5" t="s">
        <v>1006</v>
      </c>
      <c r="D142" s="39" t="s">
        <v>165</v>
      </c>
      <c r="E142" s="306">
        <v>4.25</v>
      </c>
      <c r="F142" s="110"/>
      <c r="G142" s="41">
        <v>37848</v>
      </c>
      <c r="H142" s="41">
        <v>41501</v>
      </c>
      <c r="I142" s="70"/>
      <c r="J142" s="2"/>
      <c r="K142" s="25" t="s">
        <v>1015</v>
      </c>
      <c r="L142" s="31">
        <v>33521.123</v>
      </c>
      <c r="M142" s="16"/>
      <c r="N142" s="40">
        <v>0</v>
      </c>
      <c r="O142" s="21"/>
      <c r="P142" s="31">
        <f aca="true" t="shared" si="9" ref="P142:P147">L142</f>
        <v>33521.123</v>
      </c>
      <c r="Q142" s="16"/>
    </row>
    <row r="143" spans="3:17" ht="15.75" customHeight="1">
      <c r="C143" s="5" t="s">
        <v>1007</v>
      </c>
      <c r="D143" s="39" t="s">
        <v>1043</v>
      </c>
      <c r="E143" s="306">
        <v>4.25</v>
      </c>
      <c r="F143" s="110"/>
      <c r="G143" s="41">
        <v>37942</v>
      </c>
      <c r="H143" s="41">
        <v>41593</v>
      </c>
      <c r="I143" s="70"/>
      <c r="J143" s="2"/>
      <c r="K143" s="25" t="s">
        <v>154</v>
      </c>
      <c r="L143" s="31">
        <v>30636.844</v>
      </c>
      <c r="M143" s="16"/>
      <c r="N143" s="40">
        <v>0</v>
      </c>
      <c r="O143" s="21"/>
      <c r="P143" s="31">
        <f t="shared" si="9"/>
        <v>30636.844</v>
      </c>
      <c r="Q143" s="16"/>
    </row>
    <row r="144" spans="3:17" ht="15.75" customHeight="1">
      <c r="C144" s="5" t="s">
        <v>1008</v>
      </c>
      <c r="D144" s="39" t="s">
        <v>153</v>
      </c>
      <c r="E144" s="306">
        <v>4</v>
      </c>
      <c r="F144" s="110"/>
      <c r="G144" s="41">
        <v>38034</v>
      </c>
      <c r="H144" s="41">
        <v>41685</v>
      </c>
      <c r="I144" s="70"/>
      <c r="J144" s="2"/>
      <c r="K144" s="25" t="s">
        <v>932</v>
      </c>
      <c r="L144" s="31">
        <v>28081.066</v>
      </c>
      <c r="M144" s="16"/>
      <c r="N144" s="40">
        <v>0</v>
      </c>
      <c r="O144" s="21"/>
      <c r="P144" s="31">
        <f t="shared" si="9"/>
        <v>28081.066</v>
      </c>
      <c r="Q144" s="16"/>
    </row>
    <row r="145" spans="3:17" ht="15.75" customHeight="1">
      <c r="C145" s="5" t="s">
        <v>1009</v>
      </c>
      <c r="D145" s="39" t="s">
        <v>160</v>
      </c>
      <c r="E145" s="306">
        <v>4.75</v>
      </c>
      <c r="F145" s="110"/>
      <c r="G145" s="41">
        <v>38124</v>
      </c>
      <c r="H145" s="41">
        <v>41774</v>
      </c>
      <c r="I145" s="70"/>
      <c r="J145" s="2"/>
      <c r="K145" s="25" t="s">
        <v>933</v>
      </c>
      <c r="L145" s="31">
        <v>27302.981</v>
      </c>
      <c r="M145" s="16"/>
      <c r="N145" s="40">
        <v>0</v>
      </c>
      <c r="O145" s="21"/>
      <c r="P145" s="31">
        <f t="shared" si="9"/>
        <v>27302.981</v>
      </c>
      <c r="Q145" s="16"/>
    </row>
    <row r="146" spans="3:17" ht="15.75" customHeight="1">
      <c r="C146" s="5" t="s">
        <v>632</v>
      </c>
      <c r="D146" s="39" t="s">
        <v>1043</v>
      </c>
      <c r="E146" s="306">
        <v>4.25</v>
      </c>
      <c r="F146" s="110"/>
      <c r="G146" s="41">
        <v>38215</v>
      </c>
      <c r="H146" s="41">
        <v>41866</v>
      </c>
      <c r="I146" s="70"/>
      <c r="J146" s="2"/>
      <c r="K146" s="25" t="s">
        <v>1015</v>
      </c>
      <c r="L146" s="31">
        <v>24721.634</v>
      </c>
      <c r="M146" s="16"/>
      <c r="N146" s="40">
        <v>0</v>
      </c>
      <c r="O146" s="21"/>
      <c r="P146" s="31">
        <f t="shared" si="9"/>
        <v>24721.634</v>
      </c>
      <c r="Q146" s="16"/>
    </row>
    <row r="147" spans="3:17" ht="15.75" customHeight="1">
      <c r="C147" s="5" t="s">
        <v>633</v>
      </c>
      <c r="D147" s="39" t="s">
        <v>149</v>
      </c>
      <c r="E147" s="306">
        <v>4.25</v>
      </c>
      <c r="F147" s="110"/>
      <c r="G147" s="41">
        <v>38306</v>
      </c>
      <c r="H147" s="41">
        <v>41958</v>
      </c>
      <c r="I147" s="70"/>
      <c r="J147" s="2"/>
      <c r="K147" s="25" t="s">
        <v>154</v>
      </c>
      <c r="L147" s="31">
        <v>25472.536</v>
      </c>
      <c r="M147" s="16"/>
      <c r="N147" s="40">
        <v>0</v>
      </c>
      <c r="O147" s="21"/>
      <c r="P147" s="31">
        <f t="shared" si="9"/>
        <v>25472.536</v>
      </c>
      <c r="Q147" s="16"/>
    </row>
    <row r="148" spans="3:17" ht="15.75" customHeight="1">
      <c r="C148" s="5" t="s">
        <v>634</v>
      </c>
      <c r="D148" s="39" t="s">
        <v>153</v>
      </c>
      <c r="E148" s="306">
        <v>4</v>
      </c>
      <c r="F148" s="110"/>
      <c r="G148" s="41">
        <v>38398</v>
      </c>
      <c r="H148" s="41">
        <v>42050</v>
      </c>
      <c r="I148" s="70"/>
      <c r="J148" s="2"/>
      <c r="K148" s="25" t="s">
        <v>932</v>
      </c>
      <c r="L148" s="31">
        <v>24214.991</v>
      </c>
      <c r="M148" s="16"/>
      <c r="N148" s="358">
        <v>0</v>
      </c>
      <c r="O148" s="21"/>
      <c r="P148" s="31">
        <f>L148</f>
        <v>24214.991</v>
      </c>
      <c r="Q148" s="16"/>
    </row>
    <row r="149" spans="3:17" ht="15.75" customHeight="1">
      <c r="C149" s="5" t="s">
        <v>474</v>
      </c>
      <c r="D149" s="39" t="s">
        <v>160</v>
      </c>
      <c r="E149" s="306">
        <v>4.125</v>
      </c>
      <c r="F149" s="110"/>
      <c r="G149" s="41">
        <v>38488</v>
      </c>
      <c r="H149" s="41">
        <v>42139</v>
      </c>
      <c r="I149" s="70"/>
      <c r="J149" s="2"/>
      <c r="K149" s="25" t="s">
        <v>933</v>
      </c>
      <c r="L149" s="31">
        <v>24471.849</v>
      </c>
      <c r="M149" s="16"/>
      <c r="N149" s="357">
        <v>0</v>
      </c>
      <c r="O149" s="21"/>
      <c r="P149" s="31">
        <f>L149</f>
        <v>24471.849</v>
      </c>
      <c r="Q149" s="16"/>
    </row>
    <row r="150" spans="2:17" ht="15.75" customHeight="1">
      <c r="B150" s="5" t="s">
        <v>696</v>
      </c>
      <c r="F150" s="34"/>
      <c r="G150" s="11" t="s">
        <v>939</v>
      </c>
      <c r="H150" s="37" t="s">
        <v>940</v>
      </c>
      <c r="I150" s="37" t="s">
        <v>940</v>
      </c>
      <c r="J150" s="2"/>
      <c r="K150" s="25" t="s">
        <v>1037</v>
      </c>
      <c r="L150" s="45">
        <f>SUM(L56:L149)</f>
        <v>2256015.672</v>
      </c>
      <c r="M150" s="158"/>
      <c r="N150" s="45">
        <f>SUM(N55:N149)</f>
        <v>0</v>
      </c>
      <c r="O150" s="159"/>
      <c r="P150" s="164">
        <f>L150+N150</f>
        <v>2256015.672</v>
      </c>
      <c r="Q150" s="158"/>
    </row>
    <row r="151" spans="2:17" ht="15.75" customHeight="1">
      <c r="B151" t="s">
        <v>913</v>
      </c>
      <c r="F151" s="49"/>
      <c r="G151" s="11" t="s">
        <v>939</v>
      </c>
      <c r="H151" s="37" t="s">
        <v>940</v>
      </c>
      <c r="I151" s="37" t="s">
        <v>940</v>
      </c>
      <c r="J151" s="2"/>
      <c r="K151" s="25" t="s">
        <v>1037</v>
      </c>
      <c r="L151" s="45">
        <v>30044.781</v>
      </c>
      <c r="M151" s="194"/>
      <c r="N151" s="40">
        <v>0</v>
      </c>
      <c r="O151" s="159"/>
      <c r="P151" s="164">
        <f>L151+N151</f>
        <v>30044.781</v>
      </c>
      <c r="Q151" s="158"/>
    </row>
    <row r="152" spans="2:17" ht="15.75" customHeight="1" thickBot="1">
      <c r="B152" s="59" t="s">
        <v>697</v>
      </c>
      <c r="F152" s="34"/>
      <c r="G152" s="11" t="s">
        <v>939</v>
      </c>
      <c r="H152" s="37" t="s">
        <v>940</v>
      </c>
      <c r="I152" s="37" t="s">
        <v>940</v>
      </c>
      <c r="J152" s="2"/>
      <c r="K152" s="25" t="s">
        <v>1037</v>
      </c>
      <c r="L152" s="162">
        <f>SUM(L150:L151)</f>
        <v>2286060.4529999997</v>
      </c>
      <c r="M152" s="163"/>
      <c r="N152" s="162">
        <f>SUM(N150:N151)</f>
        <v>0</v>
      </c>
      <c r="O152" s="165"/>
      <c r="P152" s="162">
        <f>L152+N152</f>
        <v>2286060.4529999997</v>
      </c>
      <c r="Q152" s="163"/>
    </row>
    <row r="153" spans="2:16" ht="21" customHeight="1" thickTop="1">
      <c r="B153" s="5" t="s">
        <v>366</v>
      </c>
      <c r="C153" s="34"/>
      <c r="D153" s="111" t="s">
        <v>563</v>
      </c>
      <c r="F153" s="14"/>
      <c r="G153" s="36"/>
      <c r="H153" s="36"/>
      <c r="I153" s="36"/>
      <c r="K153" s="25"/>
      <c r="L153" s="9"/>
      <c r="N153" s="9"/>
      <c r="P153" s="31" t="s">
        <v>259</v>
      </c>
    </row>
    <row r="154" spans="2:17" ht="17.25" customHeight="1">
      <c r="B154" s="5" t="s">
        <v>283</v>
      </c>
      <c r="D154" s="2"/>
      <c r="E154" s="2" t="s">
        <v>1040</v>
      </c>
      <c r="F154" s="2"/>
      <c r="G154" s="54"/>
      <c r="H154" s="36"/>
      <c r="I154" s="36"/>
      <c r="K154" s="52"/>
      <c r="L154" s="9"/>
      <c r="N154" s="9"/>
      <c r="P154" s="31"/>
      <c r="Q154" s="16"/>
    </row>
    <row r="155" spans="3:17" ht="15.75" customHeight="1">
      <c r="C155" s="5" t="s">
        <v>640</v>
      </c>
      <c r="E155" s="306">
        <v>10.75</v>
      </c>
      <c r="G155" s="41">
        <v>31230</v>
      </c>
      <c r="H155" s="91">
        <v>38579</v>
      </c>
      <c r="I155" s="91"/>
      <c r="J155" s="116"/>
      <c r="K155" s="25" t="s">
        <v>1015</v>
      </c>
      <c r="L155" s="31">
        <v>9269.713</v>
      </c>
      <c r="M155" s="16"/>
      <c r="N155" s="40">
        <v>0</v>
      </c>
      <c r="O155" s="21"/>
      <c r="P155" s="31">
        <f aca="true" t="shared" si="10" ref="P155:P163">L155+N155</f>
        <v>9269.713</v>
      </c>
      <c r="Q155" s="16"/>
    </row>
    <row r="156" spans="3:17" ht="15.75" customHeight="1">
      <c r="C156" s="5" t="s">
        <v>641</v>
      </c>
      <c r="E156" s="306">
        <v>12.75</v>
      </c>
      <c r="F156" s="110">
        <v>8</v>
      </c>
      <c r="G156" s="37">
        <v>29542</v>
      </c>
      <c r="H156" s="91">
        <v>40497</v>
      </c>
      <c r="I156" s="76">
        <v>38671</v>
      </c>
      <c r="J156" s="115">
        <v>9</v>
      </c>
      <c r="K156" s="25" t="s">
        <v>154</v>
      </c>
      <c r="L156" s="31">
        <v>4736.37</v>
      </c>
      <c r="M156" s="16"/>
      <c r="N156" s="40">
        <v>-655</v>
      </c>
      <c r="O156" s="21"/>
      <c r="P156" s="31">
        <f t="shared" si="10"/>
        <v>4081.37</v>
      </c>
      <c r="Q156" s="16"/>
    </row>
    <row r="157" spans="2:17" ht="15.75" customHeight="1">
      <c r="B157" s="5"/>
      <c r="C157" s="5" t="s">
        <v>642</v>
      </c>
      <c r="E157" s="306">
        <v>9.375</v>
      </c>
      <c r="G157" s="37">
        <v>31427</v>
      </c>
      <c r="H157" s="91">
        <v>38763</v>
      </c>
      <c r="I157" s="91"/>
      <c r="J157" s="117"/>
      <c r="K157" s="25" t="s">
        <v>932</v>
      </c>
      <c r="L157" s="31">
        <v>4755.916</v>
      </c>
      <c r="M157" s="16"/>
      <c r="N157" s="40">
        <v>0</v>
      </c>
      <c r="O157" s="21"/>
      <c r="P157" s="31">
        <f t="shared" si="10"/>
        <v>4755.916</v>
      </c>
      <c r="Q157" s="16"/>
    </row>
    <row r="158" spans="2:17" ht="15.75" customHeight="1">
      <c r="B158" s="5"/>
      <c r="C158" s="5" t="s">
        <v>643</v>
      </c>
      <c r="E158" s="306">
        <v>13.875</v>
      </c>
      <c r="F158" s="110">
        <v>8</v>
      </c>
      <c r="G158" s="37">
        <v>29721</v>
      </c>
      <c r="H158" s="91">
        <v>40678</v>
      </c>
      <c r="I158" s="76">
        <v>38852</v>
      </c>
      <c r="J158" s="115">
        <v>9</v>
      </c>
      <c r="K158" s="25" t="s">
        <v>933</v>
      </c>
      <c r="L158" s="31">
        <v>4608.503</v>
      </c>
      <c r="M158" s="16"/>
      <c r="N158" s="40">
        <v>-1064</v>
      </c>
      <c r="O158" s="21"/>
      <c r="P158" s="31">
        <f t="shared" si="10"/>
        <v>3544.5029999999997</v>
      </c>
      <c r="Q158" s="16"/>
    </row>
    <row r="159" spans="3:17" ht="15.75" customHeight="1">
      <c r="C159" s="5" t="s">
        <v>644</v>
      </c>
      <c r="E159" s="306">
        <v>14</v>
      </c>
      <c r="F159" s="110">
        <v>8</v>
      </c>
      <c r="G159" s="37">
        <v>29906</v>
      </c>
      <c r="H159" s="91">
        <v>40862</v>
      </c>
      <c r="I159" s="76">
        <v>39036</v>
      </c>
      <c r="J159" s="115">
        <v>9</v>
      </c>
      <c r="K159" s="25" t="s">
        <v>154</v>
      </c>
      <c r="L159" s="31">
        <v>4900.545</v>
      </c>
      <c r="M159" s="16"/>
      <c r="N159" s="40">
        <v>-852.1</v>
      </c>
      <c r="O159" s="21"/>
      <c r="P159" s="31">
        <f t="shared" si="10"/>
        <v>4048.445</v>
      </c>
      <c r="Q159" s="16"/>
    </row>
    <row r="160" spans="3:17" ht="15.75" customHeight="1">
      <c r="C160" s="5" t="s">
        <v>645</v>
      </c>
      <c r="E160" s="306">
        <v>10.375</v>
      </c>
      <c r="F160" s="110">
        <v>8</v>
      </c>
      <c r="G160" s="37">
        <v>30270</v>
      </c>
      <c r="H160" s="91">
        <v>41228</v>
      </c>
      <c r="I160" s="76">
        <v>39401</v>
      </c>
      <c r="J160" s="115">
        <v>9</v>
      </c>
      <c r="K160" s="25" t="s">
        <v>154</v>
      </c>
      <c r="L160" s="31">
        <v>11031.518</v>
      </c>
      <c r="M160" s="16"/>
      <c r="N160" s="40">
        <v>-905.5</v>
      </c>
      <c r="O160" s="16"/>
      <c r="P160" s="31">
        <f t="shared" si="10"/>
        <v>10126.018</v>
      </c>
      <c r="Q160" s="16"/>
    </row>
    <row r="161" spans="3:17" ht="15.75" customHeight="1">
      <c r="C161" s="5" t="s">
        <v>646</v>
      </c>
      <c r="E161" s="306">
        <v>12</v>
      </c>
      <c r="F161" s="110">
        <v>8</v>
      </c>
      <c r="G161" s="37">
        <v>30543</v>
      </c>
      <c r="H161" s="91">
        <v>41501</v>
      </c>
      <c r="I161" s="76">
        <v>39675</v>
      </c>
      <c r="J161" s="115">
        <v>9</v>
      </c>
      <c r="K161" s="25" t="s">
        <v>1015</v>
      </c>
      <c r="L161" s="31">
        <v>14755.363</v>
      </c>
      <c r="M161" s="16"/>
      <c r="N161" s="40">
        <v>-2838.3</v>
      </c>
      <c r="O161" s="131"/>
      <c r="P161" s="31">
        <f t="shared" si="10"/>
        <v>11917.062999999998</v>
      </c>
      <c r="Q161" s="16"/>
    </row>
    <row r="162" spans="3:17" ht="15.75" customHeight="1">
      <c r="C162" s="5" t="s">
        <v>647</v>
      </c>
      <c r="E162" s="306">
        <v>13.25</v>
      </c>
      <c r="F162" s="110">
        <v>8</v>
      </c>
      <c r="G162" s="37">
        <v>30817</v>
      </c>
      <c r="H162" s="91">
        <v>41774</v>
      </c>
      <c r="I162" s="76">
        <v>39948</v>
      </c>
      <c r="J162" s="115">
        <v>9</v>
      </c>
      <c r="K162" s="25" t="s">
        <v>933</v>
      </c>
      <c r="L162" s="31">
        <v>5007.367</v>
      </c>
      <c r="M162" s="16"/>
      <c r="N162" s="40">
        <v>-526.6</v>
      </c>
      <c r="O162" s="21"/>
      <c r="P162" s="31">
        <f t="shared" si="10"/>
        <v>4480.767</v>
      </c>
      <c r="Q162" s="16"/>
    </row>
    <row r="163" spans="3:17" ht="15.75" customHeight="1">
      <c r="C163" s="5" t="s">
        <v>648</v>
      </c>
      <c r="E163" s="306">
        <v>12.5</v>
      </c>
      <c r="F163" s="110">
        <v>8</v>
      </c>
      <c r="G163" s="37">
        <v>30909</v>
      </c>
      <c r="H163" s="91">
        <v>41866</v>
      </c>
      <c r="I163" s="76">
        <v>40040</v>
      </c>
      <c r="J163" s="115">
        <v>9</v>
      </c>
      <c r="K163" s="25" t="s">
        <v>1015</v>
      </c>
      <c r="L163" s="31">
        <v>5128.392</v>
      </c>
      <c r="M163" s="16"/>
      <c r="N163" s="40">
        <v>-740.4</v>
      </c>
      <c r="O163" s="21"/>
      <c r="P163" s="31">
        <f t="shared" si="10"/>
        <v>4387.992</v>
      </c>
      <c r="Q163" s="16"/>
    </row>
    <row r="164" spans="3:17" ht="15.75" customHeight="1">
      <c r="C164" s="5" t="s">
        <v>649</v>
      </c>
      <c r="E164" s="306">
        <v>11.75</v>
      </c>
      <c r="F164" s="110"/>
      <c r="G164" s="37">
        <v>31001</v>
      </c>
      <c r="H164" s="91">
        <v>41958</v>
      </c>
      <c r="I164" s="76">
        <v>40132</v>
      </c>
      <c r="J164" s="115">
        <v>9</v>
      </c>
      <c r="K164" s="25" t="s">
        <v>154</v>
      </c>
      <c r="L164" s="31">
        <v>6005.584</v>
      </c>
      <c r="M164" s="16"/>
      <c r="N164" s="40">
        <v>-990.3</v>
      </c>
      <c r="O164" s="131"/>
      <c r="P164" s="31">
        <f>L164+N164</f>
        <v>5015.284</v>
      </c>
      <c r="Q164" s="16"/>
    </row>
    <row r="165" spans="3:17" ht="15.75" customHeight="1">
      <c r="C165" s="5" t="s">
        <v>650</v>
      </c>
      <c r="E165" s="306">
        <v>11.25</v>
      </c>
      <c r="F165" s="110"/>
      <c r="G165" s="37">
        <v>31093</v>
      </c>
      <c r="H165" s="97">
        <v>42050</v>
      </c>
      <c r="I165" s="97"/>
      <c r="J165" s="2"/>
      <c r="K165" s="25" t="s">
        <v>932</v>
      </c>
      <c r="L165" s="31">
        <v>12667.799</v>
      </c>
      <c r="M165" s="16"/>
      <c r="N165" s="40">
        <v>-2147.5</v>
      </c>
      <c r="O165" s="21"/>
      <c r="P165" s="31">
        <f>L165+N165</f>
        <v>10520.299</v>
      </c>
      <c r="Q165" s="16"/>
    </row>
    <row r="166" spans="3:17" ht="15.75" customHeight="1">
      <c r="C166" s="5" t="s">
        <v>651</v>
      </c>
      <c r="E166" s="306">
        <v>10.625</v>
      </c>
      <c r="F166" s="110"/>
      <c r="G166" s="37">
        <v>31274</v>
      </c>
      <c r="H166" s="97">
        <v>42231</v>
      </c>
      <c r="I166" s="97"/>
      <c r="J166" s="2"/>
      <c r="K166" s="25" t="s">
        <v>1015</v>
      </c>
      <c r="L166" s="31">
        <v>7149.916</v>
      </c>
      <c r="M166" s="16"/>
      <c r="N166" s="40">
        <v>-3126</v>
      </c>
      <c r="O166" s="21"/>
      <c r="P166" s="31">
        <f>L166+N166</f>
        <v>4023.916</v>
      </c>
      <c r="Q166" s="16"/>
    </row>
    <row r="167" spans="3:17" ht="15.75" customHeight="1">
      <c r="C167" s="5" t="s">
        <v>652</v>
      </c>
      <c r="E167" s="306">
        <v>9.875</v>
      </c>
      <c r="F167" s="110"/>
      <c r="G167" s="37">
        <v>31380</v>
      </c>
      <c r="H167" s="97">
        <v>42323</v>
      </c>
      <c r="I167" s="97"/>
      <c r="J167" s="2"/>
      <c r="K167" s="25" t="s">
        <v>154</v>
      </c>
      <c r="L167" s="31">
        <v>6899.859</v>
      </c>
      <c r="M167" s="16"/>
      <c r="N167" s="40">
        <v>-1315</v>
      </c>
      <c r="O167" s="21"/>
      <c r="P167" s="31">
        <f>L167+N167</f>
        <v>5584.859</v>
      </c>
      <c r="Q167" s="16"/>
    </row>
    <row r="168" spans="3:17" ht="15.75" customHeight="1">
      <c r="C168" s="5" t="s">
        <v>653</v>
      </c>
      <c r="E168" s="306">
        <v>9.25</v>
      </c>
      <c r="F168" s="110"/>
      <c r="G168" s="37">
        <v>31461</v>
      </c>
      <c r="H168" s="97">
        <v>42415</v>
      </c>
      <c r="I168" s="97"/>
      <c r="J168" s="2"/>
      <c r="K168" s="25" t="s">
        <v>932</v>
      </c>
      <c r="L168" s="31">
        <v>7266.854</v>
      </c>
      <c r="M168" s="16"/>
      <c r="N168" s="40">
        <v>-1835.1</v>
      </c>
      <c r="O168" s="21"/>
      <c r="P168" s="31">
        <f aca="true" t="shared" si="11" ref="P168:P194">L168+N168</f>
        <v>5431.754000000001</v>
      </c>
      <c r="Q168" s="16"/>
    </row>
    <row r="169" spans="3:17" ht="15.75" customHeight="1">
      <c r="C169" s="5" t="s">
        <v>654</v>
      </c>
      <c r="E169" s="306">
        <v>7.25</v>
      </c>
      <c r="F169" s="110"/>
      <c r="G169" s="37">
        <v>31547</v>
      </c>
      <c r="H169" s="97">
        <v>42505</v>
      </c>
      <c r="I169" s="97"/>
      <c r="J169" s="2"/>
      <c r="K169" s="25" t="s">
        <v>933</v>
      </c>
      <c r="L169" s="31">
        <v>18823.551</v>
      </c>
      <c r="M169" s="16"/>
      <c r="N169" s="40">
        <v>0</v>
      </c>
      <c r="O169" s="21"/>
      <c r="P169" s="31">
        <f t="shared" si="11"/>
        <v>18823.551</v>
      </c>
      <c r="Q169" s="16"/>
    </row>
    <row r="170" spans="3:17" ht="15.75" customHeight="1">
      <c r="C170" s="5" t="s">
        <v>655</v>
      </c>
      <c r="E170" s="306">
        <v>7.5</v>
      </c>
      <c r="F170" s="110"/>
      <c r="G170" s="37">
        <v>31733</v>
      </c>
      <c r="H170" s="97">
        <v>42689</v>
      </c>
      <c r="I170" s="97"/>
      <c r="J170" s="2"/>
      <c r="K170" s="25" t="s">
        <v>154</v>
      </c>
      <c r="L170" s="31">
        <v>18864.448</v>
      </c>
      <c r="M170" s="16"/>
      <c r="N170" s="40">
        <v>-77</v>
      </c>
      <c r="O170" s="21"/>
      <c r="P170" s="31">
        <f t="shared" si="11"/>
        <v>18787.448</v>
      </c>
      <c r="Q170" s="16"/>
    </row>
    <row r="171" spans="3:17" ht="15.75" customHeight="1">
      <c r="C171" s="5" t="s">
        <v>656</v>
      </c>
      <c r="E171" s="306">
        <v>8.75</v>
      </c>
      <c r="F171" s="110"/>
      <c r="G171" s="37">
        <v>31912</v>
      </c>
      <c r="H171" s="97">
        <v>42870</v>
      </c>
      <c r="I171" s="97"/>
      <c r="J171" s="2"/>
      <c r="K171" s="25" t="s">
        <v>933</v>
      </c>
      <c r="L171" s="31">
        <v>18194.169</v>
      </c>
      <c r="M171" s="16"/>
      <c r="N171" s="40">
        <v>-2635</v>
      </c>
      <c r="O171" s="21"/>
      <c r="P171" s="31">
        <f t="shared" si="11"/>
        <v>15559.169000000002</v>
      </c>
      <c r="Q171" s="16"/>
    </row>
    <row r="172" spans="3:17" ht="15.75" customHeight="1">
      <c r="C172" s="5" t="s">
        <v>657</v>
      </c>
      <c r="E172" s="306">
        <v>8.875</v>
      </c>
      <c r="F172" s="110"/>
      <c r="G172" s="37">
        <v>32006</v>
      </c>
      <c r="H172" s="97">
        <v>42962</v>
      </c>
      <c r="I172" s="97"/>
      <c r="J172" s="2"/>
      <c r="K172" s="25" t="s">
        <v>1015</v>
      </c>
      <c r="L172" s="31">
        <v>14016.858</v>
      </c>
      <c r="M172" s="16"/>
      <c r="N172" s="40">
        <v>-3048.5</v>
      </c>
      <c r="O172" s="21"/>
      <c r="P172" s="31">
        <f t="shared" si="11"/>
        <v>10968.358</v>
      </c>
      <c r="Q172" s="16"/>
    </row>
    <row r="173" spans="3:17" ht="15.75" customHeight="1">
      <c r="C173" s="5" t="s">
        <v>658</v>
      </c>
      <c r="E173" s="306">
        <v>9.125</v>
      </c>
      <c r="F173" s="110"/>
      <c r="G173" s="37">
        <v>32279</v>
      </c>
      <c r="H173" s="97">
        <v>43235</v>
      </c>
      <c r="I173" s="97"/>
      <c r="J173" s="2"/>
      <c r="K173" s="25" t="s">
        <v>933</v>
      </c>
      <c r="L173" s="31">
        <v>8708.639</v>
      </c>
      <c r="M173" s="16"/>
      <c r="N173" s="40">
        <v>-1991.2</v>
      </c>
      <c r="O173" s="21"/>
      <c r="P173" s="31">
        <f t="shared" si="11"/>
        <v>6717.438999999999</v>
      </c>
      <c r="Q173" s="16"/>
    </row>
    <row r="174" spans="3:17" ht="15.75" customHeight="1">
      <c r="C174" s="5" t="s">
        <v>659</v>
      </c>
      <c r="E174" s="306">
        <v>9</v>
      </c>
      <c r="F174" s="110"/>
      <c r="G174" s="37">
        <v>32469</v>
      </c>
      <c r="H174" s="97">
        <v>43419</v>
      </c>
      <c r="I174" s="97"/>
      <c r="J174" s="2"/>
      <c r="K174" s="25" t="s">
        <v>154</v>
      </c>
      <c r="L174" s="31">
        <v>9032.87</v>
      </c>
      <c r="M174" s="16"/>
      <c r="N174" s="40">
        <v>-1858.4</v>
      </c>
      <c r="O174" s="21"/>
      <c r="P174" s="31">
        <f t="shared" si="11"/>
        <v>7174.470000000001</v>
      </c>
      <c r="Q174" s="16"/>
    </row>
    <row r="175" spans="3:17" ht="15.75" customHeight="1">
      <c r="C175" s="5" t="s">
        <v>660</v>
      </c>
      <c r="E175" s="306">
        <v>8.875</v>
      </c>
      <c r="F175" s="110"/>
      <c r="G175" s="37">
        <v>32554</v>
      </c>
      <c r="H175" s="97">
        <v>43511</v>
      </c>
      <c r="I175" s="97"/>
      <c r="J175" s="2"/>
      <c r="K175" s="25" t="s">
        <v>932</v>
      </c>
      <c r="L175" s="31">
        <v>19250.798</v>
      </c>
      <c r="M175" s="16"/>
      <c r="N175" s="40">
        <v>-6160.3</v>
      </c>
      <c r="O175" s="21"/>
      <c r="P175" s="31">
        <f t="shared" si="11"/>
        <v>13090.498</v>
      </c>
      <c r="Q175" s="16"/>
    </row>
    <row r="176" spans="3:17" ht="15.75" customHeight="1">
      <c r="C176" s="5" t="s">
        <v>661</v>
      </c>
      <c r="E176" s="306">
        <v>8.125</v>
      </c>
      <c r="F176" s="110"/>
      <c r="G176" s="37">
        <v>32735</v>
      </c>
      <c r="H176" s="97">
        <v>43692</v>
      </c>
      <c r="I176" s="97"/>
      <c r="J176" s="2"/>
      <c r="K176" s="25" t="s">
        <v>1015</v>
      </c>
      <c r="L176" s="31">
        <v>20213.832</v>
      </c>
      <c r="M176" s="16"/>
      <c r="N176" s="40">
        <v>-1272.9</v>
      </c>
      <c r="O176" s="21"/>
      <c r="P176" s="31">
        <f t="shared" si="11"/>
        <v>18940.931999999997</v>
      </c>
      <c r="Q176" s="16"/>
    </row>
    <row r="177" spans="3:17" ht="15.75" customHeight="1">
      <c r="C177" s="5" t="s">
        <v>662</v>
      </c>
      <c r="E177" s="306">
        <v>8.5</v>
      </c>
      <c r="F177" s="110"/>
      <c r="G177" s="37">
        <v>32919</v>
      </c>
      <c r="H177" s="97">
        <v>43876</v>
      </c>
      <c r="I177" s="97"/>
      <c r="J177" s="2"/>
      <c r="K177" s="25" t="s">
        <v>932</v>
      </c>
      <c r="L177" s="31">
        <v>10228.868</v>
      </c>
      <c r="M177" s="16"/>
      <c r="N177" s="40">
        <v>-752.6</v>
      </c>
      <c r="O177" s="21"/>
      <c r="P177" s="31">
        <f t="shared" si="11"/>
        <v>9476.268</v>
      </c>
      <c r="Q177" s="16"/>
    </row>
    <row r="178" spans="3:17" ht="15.75" customHeight="1">
      <c r="C178" s="5" t="s">
        <v>663</v>
      </c>
      <c r="E178" s="306">
        <v>8.75</v>
      </c>
      <c r="F178" s="110"/>
      <c r="G178" s="37">
        <v>33008</v>
      </c>
      <c r="H178" s="97">
        <v>43966</v>
      </c>
      <c r="I178" s="97"/>
      <c r="J178" s="2"/>
      <c r="K178" s="25" t="s">
        <v>933</v>
      </c>
      <c r="L178" s="31">
        <v>10158.883</v>
      </c>
      <c r="M178" s="16"/>
      <c r="N178" s="40">
        <v>-2576.7</v>
      </c>
      <c r="O178" s="21"/>
      <c r="P178" s="31">
        <f t="shared" si="11"/>
        <v>7582.183</v>
      </c>
      <c r="Q178" s="16"/>
    </row>
    <row r="179" spans="3:17" ht="15.75" customHeight="1">
      <c r="C179" s="5" t="s">
        <v>664</v>
      </c>
      <c r="E179" s="306">
        <v>8.75</v>
      </c>
      <c r="F179" s="110"/>
      <c r="G179" s="37">
        <v>33100</v>
      </c>
      <c r="H179" s="97">
        <v>44058</v>
      </c>
      <c r="I179" s="97"/>
      <c r="J179" s="2"/>
      <c r="K179" s="25" t="s">
        <v>1015</v>
      </c>
      <c r="L179" s="31">
        <v>21418.606</v>
      </c>
      <c r="M179" s="16"/>
      <c r="N179" s="40">
        <v>-4359.3</v>
      </c>
      <c r="O179" s="21"/>
      <c r="P179" s="31">
        <f t="shared" si="11"/>
        <v>17059.306</v>
      </c>
      <c r="Q179" s="16"/>
    </row>
    <row r="180" spans="3:17" ht="15.75" customHeight="1">
      <c r="C180" s="5" t="s">
        <v>665</v>
      </c>
      <c r="E180" s="306">
        <v>7.875</v>
      </c>
      <c r="F180" s="110"/>
      <c r="G180" s="37">
        <v>33284</v>
      </c>
      <c r="H180" s="97">
        <v>44242</v>
      </c>
      <c r="I180" s="97"/>
      <c r="J180" s="2"/>
      <c r="K180" s="25" t="s">
        <v>932</v>
      </c>
      <c r="L180" s="31">
        <v>11113.373</v>
      </c>
      <c r="M180" s="16"/>
      <c r="N180" s="40">
        <v>-1037.8</v>
      </c>
      <c r="O180" s="21"/>
      <c r="P180" s="31">
        <f t="shared" si="11"/>
        <v>10075.573</v>
      </c>
      <c r="Q180" s="16"/>
    </row>
    <row r="181" spans="3:17" ht="15.75" customHeight="1">
      <c r="C181" s="5" t="s">
        <v>477</v>
      </c>
      <c r="E181" s="306">
        <v>8.125</v>
      </c>
      <c r="F181" s="110"/>
      <c r="G181" s="37">
        <v>33373</v>
      </c>
      <c r="H181" s="97">
        <v>44331</v>
      </c>
      <c r="I181" s="97"/>
      <c r="J181" s="2"/>
      <c r="K181" s="25" t="s">
        <v>933</v>
      </c>
      <c r="L181" s="31">
        <v>11958.888</v>
      </c>
      <c r="M181" s="16"/>
      <c r="N181" s="40">
        <v>-1892.1</v>
      </c>
      <c r="O181" s="21"/>
      <c r="P181" s="31">
        <f t="shared" si="11"/>
        <v>10066.788</v>
      </c>
      <c r="Q181" s="16"/>
    </row>
    <row r="182" spans="3:17" ht="15.75" customHeight="1">
      <c r="C182" s="5" t="s">
        <v>478</v>
      </c>
      <c r="E182" s="306">
        <v>8.125</v>
      </c>
      <c r="F182" s="110"/>
      <c r="G182" s="37">
        <v>33465</v>
      </c>
      <c r="H182" s="97">
        <v>44423</v>
      </c>
      <c r="I182" s="97"/>
      <c r="J182" s="2"/>
      <c r="K182" s="25" t="s">
        <v>1015</v>
      </c>
      <c r="L182" s="31">
        <v>12163.482</v>
      </c>
      <c r="M182" s="16"/>
      <c r="N182" s="40">
        <v>-2657.1</v>
      </c>
      <c r="O182" s="21"/>
      <c r="P182" s="31">
        <f t="shared" si="11"/>
        <v>9506.382</v>
      </c>
      <c r="Q182" s="16"/>
    </row>
    <row r="183" spans="3:17" ht="15.75" customHeight="1">
      <c r="C183" s="5" t="s">
        <v>479</v>
      </c>
      <c r="E183" s="306">
        <v>8</v>
      </c>
      <c r="F183" s="110"/>
      <c r="G183" s="37">
        <v>33557</v>
      </c>
      <c r="H183" s="97">
        <v>44515</v>
      </c>
      <c r="I183" s="97"/>
      <c r="J183" s="2"/>
      <c r="K183" s="25" t="s">
        <v>154</v>
      </c>
      <c r="L183" s="31">
        <v>32798.394</v>
      </c>
      <c r="M183" s="16"/>
      <c r="N183" s="40">
        <v>-2166.2</v>
      </c>
      <c r="O183" s="21"/>
      <c r="P183" s="31">
        <f t="shared" si="11"/>
        <v>30632.194</v>
      </c>
      <c r="Q183" s="16"/>
    </row>
    <row r="184" spans="3:17" ht="15.75" customHeight="1">
      <c r="C184" s="5" t="s">
        <v>480</v>
      </c>
      <c r="E184" s="306">
        <v>7.25</v>
      </c>
      <c r="F184" s="110"/>
      <c r="G184" s="37">
        <v>33833</v>
      </c>
      <c r="H184" s="97">
        <v>44788</v>
      </c>
      <c r="I184" s="97"/>
      <c r="J184" s="2"/>
      <c r="K184" s="25" t="s">
        <v>1015</v>
      </c>
      <c r="L184" s="31">
        <v>10352.79</v>
      </c>
      <c r="M184" s="16"/>
      <c r="N184" s="40">
        <v>-225</v>
      </c>
      <c r="O184" s="21"/>
      <c r="P184" s="31">
        <f t="shared" si="11"/>
        <v>10127.79</v>
      </c>
      <c r="Q184" s="16"/>
    </row>
    <row r="185" spans="3:17" ht="15.75" customHeight="1">
      <c r="C185" s="5" t="s">
        <v>481</v>
      </c>
      <c r="E185" s="306">
        <v>7.625</v>
      </c>
      <c r="F185" s="110"/>
      <c r="G185" s="37">
        <v>33924</v>
      </c>
      <c r="H185" s="97">
        <v>44880</v>
      </c>
      <c r="I185" s="97"/>
      <c r="J185" s="2"/>
      <c r="K185" s="25" t="s">
        <v>154</v>
      </c>
      <c r="L185" s="31">
        <v>10699.626</v>
      </c>
      <c r="M185" s="16"/>
      <c r="N185" s="40">
        <v>-3276</v>
      </c>
      <c r="O185" s="21"/>
      <c r="P185" s="31">
        <f t="shared" si="11"/>
        <v>7423.626</v>
      </c>
      <c r="Q185" s="16"/>
    </row>
    <row r="186" spans="3:17" ht="15.75" customHeight="1">
      <c r="C186" s="5" t="s">
        <v>482</v>
      </c>
      <c r="E186" s="306">
        <v>7.125</v>
      </c>
      <c r="F186" s="110"/>
      <c r="G186" s="37">
        <v>34016</v>
      </c>
      <c r="H186" s="97">
        <v>44972</v>
      </c>
      <c r="I186" s="97"/>
      <c r="J186" s="2"/>
      <c r="K186" s="25" t="s">
        <v>932</v>
      </c>
      <c r="L186" s="31">
        <v>18374.361</v>
      </c>
      <c r="M186" s="16"/>
      <c r="N186" s="40">
        <v>-2592.3</v>
      </c>
      <c r="O186" s="21"/>
      <c r="P186" s="31">
        <f t="shared" si="11"/>
        <v>15782.061000000002</v>
      </c>
      <c r="Q186" s="16"/>
    </row>
    <row r="187" spans="3:17" ht="15.75" customHeight="1">
      <c r="C187" s="5" t="s">
        <v>483</v>
      </c>
      <c r="E187" s="306">
        <v>6.25</v>
      </c>
      <c r="F187" s="110"/>
      <c r="G187" s="37">
        <v>34197</v>
      </c>
      <c r="H187" s="97">
        <v>45153</v>
      </c>
      <c r="I187" s="97"/>
      <c r="J187" s="2"/>
      <c r="K187" s="25" t="s">
        <v>1015</v>
      </c>
      <c r="L187" s="31">
        <v>22909.044</v>
      </c>
      <c r="M187" s="16"/>
      <c r="N187" s="40">
        <v>-250</v>
      </c>
      <c r="O187" s="21"/>
      <c r="P187" s="31">
        <f t="shared" si="11"/>
        <v>22659.044</v>
      </c>
      <c r="Q187" s="16"/>
    </row>
    <row r="188" spans="3:17" ht="15.75" customHeight="1">
      <c r="C188" s="5" t="s">
        <v>484</v>
      </c>
      <c r="E188" s="306">
        <v>7.5</v>
      </c>
      <c r="F188" s="110"/>
      <c r="G188" s="37">
        <v>34561</v>
      </c>
      <c r="H188" s="97">
        <v>45611</v>
      </c>
      <c r="I188" s="97"/>
      <c r="J188" s="2"/>
      <c r="K188" s="25" t="s">
        <v>933</v>
      </c>
      <c r="L188" s="31">
        <v>11469.662</v>
      </c>
      <c r="M188" s="16"/>
      <c r="N188" s="40">
        <v>-1865.5</v>
      </c>
      <c r="O188" s="21"/>
      <c r="P188" s="31">
        <f t="shared" si="11"/>
        <v>9604.162</v>
      </c>
      <c r="Q188" s="16"/>
    </row>
    <row r="189" spans="3:17" ht="15.75" customHeight="1">
      <c r="C189" s="5" t="s">
        <v>485</v>
      </c>
      <c r="E189" s="306">
        <v>7.625</v>
      </c>
      <c r="F189" s="110"/>
      <c r="G189" s="37">
        <v>34745</v>
      </c>
      <c r="H189" s="97">
        <v>45703</v>
      </c>
      <c r="I189" s="97"/>
      <c r="J189" s="2"/>
      <c r="K189" s="25" t="s">
        <v>932</v>
      </c>
      <c r="L189" s="31">
        <v>11725.17</v>
      </c>
      <c r="M189" s="16"/>
      <c r="N189" s="40">
        <v>-2216</v>
      </c>
      <c r="O189" s="21"/>
      <c r="P189" s="31">
        <f t="shared" si="11"/>
        <v>9509.17</v>
      </c>
      <c r="Q189" s="16"/>
    </row>
    <row r="190" spans="3:17" ht="15.75" customHeight="1">
      <c r="C190" s="5" t="s">
        <v>486</v>
      </c>
      <c r="E190" s="306">
        <v>6.875</v>
      </c>
      <c r="F190" s="110"/>
      <c r="G190" s="37">
        <v>34926</v>
      </c>
      <c r="H190" s="97">
        <v>45884</v>
      </c>
      <c r="I190" s="97"/>
      <c r="J190" s="2"/>
      <c r="K190" s="25" t="s">
        <v>1015</v>
      </c>
      <c r="L190" s="31">
        <v>12602.007</v>
      </c>
      <c r="M190" s="16"/>
      <c r="N190" s="40">
        <v>-1414.8</v>
      </c>
      <c r="O190" s="21"/>
      <c r="P190" s="31">
        <f t="shared" si="11"/>
        <v>11187.207</v>
      </c>
      <c r="Q190" s="16"/>
    </row>
    <row r="191" spans="3:17" ht="15.75" customHeight="1">
      <c r="C191" s="5" t="s">
        <v>487</v>
      </c>
      <c r="E191" s="306">
        <v>6</v>
      </c>
      <c r="F191" s="110"/>
      <c r="G191" s="37">
        <v>35110</v>
      </c>
      <c r="H191" s="97">
        <v>46068</v>
      </c>
      <c r="I191" s="97"/>
      <c r="J191" s="2"/>
      <c r="K191" s="25" t="s">
        <v>932</v>
      </c>
      <c r="L191" s="31">
        <v>12904.916</v>
      </c>
      <c r="M191" s="16"/>
      <c r="N191" s="40">
        <v>-67</v>
      </c>
      <c r="O191" s="21"/>
      <c r="P191" s="31">
        <f t="shared" si="11"/>
        <v>12837.916</v>
      </c>
      <c r="Q191" s="16"/>
    </row>
    <row r="192" spans="3:17" ht="15.75" customHeight="1">
      <c r="C192" s="5" t="s">
        <v>488</v>
      </c>
      <c r="E192" s="306">
        <v>6.75</v>
      </c>
      <c r="F192" s="110"/>
      <c r="G192" s="70">
        <v>35292</v>
      </c>
      <c r="H192" s="98">
        <v>46249</v>
      </c>
      <c r="I192" s="98"/>
      <c r="J192" s="2"/>
      <c r="K192" s="25" t="s">
        <v>1015</v>
      </c>
      <c r="L192" s="31">
        <v>10893.818</v>
      </c>
      <c r="M192" s="16"/>
      <c r="N192" s="40">
        <v>-2083.4</v>
      </c>
      <c r="O192" s="21"/>
      <c r="P192" s="31">
        <f t="shared" si="11"/>
        <v>8810.418</v>
      </c>
      <c r="Q192" s="16"/>
    </row>
    <row r="193" spans="3:17" ht="15.75" customHeight="1">
      <c r="C193" s="5" t="s">
        <v>489</v>
      </c>
      <c r="E193" s="306">
        <v>6.5</v>
      </c>
      <c r="F193" s="110"/>
      <c r="G193" s="70">
        <v>35384</v>
      </c>
      <c r="H193" s="98">
        <v>46341</v>
      </c>
      <c r="I193" s="98"/>
      <c r="J193" s="2"/>
      <c r="K193" s="25" t="s">
        <v>154</v>
      </c>
      <c r="L193" s="31">
        <v>11493.177</v>
      </c>
      <c r="M193" s="16"/>
      <c r="N193" s="40">
        <v>-633</v>
      </c>
      <c r="O193" s="21"/>
      <c r="P193" s="31">
        <f t="shared" si="11"/>
        <v>10860.177</v>
      </c>
      <c r="Q193" s="16"/>
    </row>
    <row r="194" spans="3:17" ht="15.75" customHeight="1">
      <c r="C194" s="5" t="s">
        <v>490</v>
      </c>
      <c r="E194" s="306">
        <v>6.625</v>
      </c>
      <c r="F194" s="110"/>
      <c r="G194" s="70">
        <v>35479</v>
      </c>
      <c r="H194" s="98">
        <v>46433</v>
      </c>
      <c r="I194" s="98"/>
      <c r="J194" s="2"/>
      <c r="K194" s="25" t="s">
        <v>932</v>
      </c>
      <c r="L194" s="31">
        <v>10456.071</v>
      </c>
      <c r="M194" s="16"/>
      <c r="N194" s="40">
        <v>-934.1</v>
      </c>
      <c r="O194" s="21"/>
      <c r="P194" s="31">
        <f t="shared" si="11"/>
        <v>9521.971</v>
      </c>
      <c r="Q194" s="16"/>
    </row>
    <row r="195" spans="3:17" ht="15.75" customHeight="1">
      <c r="C195" s="5" t="s">
        <v>491</v>
      </c>
      <c r="E195" s="306">
        <v>6.375</v>
      </c>
      <c r="F195" s="110"/>
      <c r="G195" s="70">
        <v>35657</v>
      </c>
      <c r="H195" s="98">
        <v>46614</v>
      </c>
      <c r="I195" s="98"/>
      <c r="J195" s="2"/>
      <c r="K195" s="25" t="s">
        <v>1015</v>
      </c>
      <c r="L195" s="31">
        <v>10735.756</v>
      </c>
      <c r="M195" s="16"/>
      <c r="N195" s="40">
        <v>-1539</v>
      </c>
      <c r="O195" s="21"/>
      <c r="P195" s="31">
        <f aca="true" t="shared" si="12" ref="P195:P204">L195+N195</f>
        <v>9196.756</v>
      </c>
      <c r="Q195" s="16"/>
    </row>
    <row r="196" spans="3:17" ht="14.25" customHeight="1">
      <c r="C196" s="5" t="s">
        <v>492</v>
      </c>
      <c r="E196" s="306">
        <v>6.125</v>
      </c>
      <c r="F196" s="110"/>
      <c r="G196" s="70">
        <v>35751</v>
      </c>
      <c r="H196" s="98">
        <v>46706</v>
      </c>
      <c r="I196" s="98"/>
      <c r="J196" s="2"/>
      <c r="K196" s="25" t="s">
        <v>154</v>
      </c>
      <c r="L196" s="31">
        <v>22518.539</v>
      </c>
      <c r="M196" s="16"/>
      <c r="N196" s="40">
        <v>-497.2</v>
      </c>
      <c r="O196" s="21"/>
      <c r="P196" s="31">
        <f t="shared" si="12"/>
        <v>22021.339</v>
      </c>
      <c r="Q196" s="16"/>
    </row>
    <row r="197" spans="3:17" ht="15.75" customHeight="1">
      <c r="C197" s="5" t="s">
        <v>493</v>
      </c>
      <c r="E197" s="306">
        <v>5.5</v>
      </c>
      <c r="F197" s="110"/>
      <c r="G197" s="70">
        <v>36024</v>
      </c>
      <c r="H197" s="98">
        <v>46980</v>
      </c>
      <c r="I197" s="98"/>
      <c r="J197" s="2"/>
      <c r="K197" s="25" t="s">
        <v>1015</v>
      </c>
      <c r="L197" s="31">
        <v>11776.201</v>
      </c>
      <c r="M197" s="16"/>
      <c r="N197" s="40">
        <v>0</v>
      </c>
      <c r="O197" s="21"/>
      <c r="P197" s="31">
        <f t="shared" si="12"/>
        <v>11776.201</v>
      </c>
      <c r="Q197" s="16"/>
    </row>
    <row r="198" spans="3:17" ht="16.5" customHeight="1">
      <c r="C198" s="5" t="s">
        <v>494</v>
      </c>
      <c r="E198" s="306">
        <v>5.25</v>
      </c>
      <c r="F198" s="110"/>
      <c r="G198" s="70">
        <v>36115</v>
      </c>
      <c r="H198" s="98">
        <v>47072</v>
      </c>
      <c r="I198" s="98"/>
      <c r="J198" s="2"/>
      <c r="K198" s="25" t="s">
        <v>154</v>
      </c>
      <c r="L198" s="31">
        <v>10947.052</v>
      </c>
      <c r="M198" s="16"/>
      <c r="N198" s="40">
        <v>0</v>
      </c>
      <c r="O198" s="21"/>
      <c r="P198" s="31">
        <f t="shared" si="12"/>
        <v>10947.052</v>
      </c>
      <c r="Q198" s="16"/>
    </row>
    <row r="199" spans="3:17" ht="15.75" customHeight="1">
      <c r="C199" s="5" t="s">
        <v>495</v>
      </c>
      <c r="E199" s="306">
        <v>5.25</v>
      </c>
      <c r="F199" s="110"/>
      <c r="G199" s="70">
        <v>36207</v>
      </c>
      <c r="H199" s="98">
        <v>47164</v>
      </c>
      <c r="I199" s="98"/>
      <c r="J199" s="2"/>
      <c r="K199" s="25" t="s">
        <v>932</v>
      </c>
      <c r="L199" s="31">
        <v>11350.341</v>
      </c>
      <c r="M199" s="16"/>
      <c r="N199" s="40">
        <v>0</v>
      </c>
      <c r="O199" s="21"/>
      <c r="P199" s="31">
        <f t="shared" si="12"/>
        <v>11350.341</v>
      </c>
      <c r="Q199" s="32"/>
    </row>
    <row r="200" spans="3:17" ht="15.75" customHeight="1">
      <c r="C200" s="5" t="s">
        <v>496</v>
      </c>
      <c r="E200" s="306">
        <v>6.125</v>
      </c>
      <c r="F200" s="110"/>
      <c r="G200" s="70">
        <v>36388</v>
      </c>
      <c r="H200" s="98">
        <v>47345</v>
      </c>
      <c r="I200" s="98"/>
      <c r="J200" s="2"/>
      <c r="K200" s="25" t="s">
        <v>1015</v>
      </c>
      <c r="L200" s="31">
        <v>11178.58</v>
      </c>
      <c r="M200" s="16"/>
      <c r="N200" s="40">
        <v>0</v>
      </c>
      <c r="O200" s="21"/>
      <c r="P200" s="31">
        <f t="shared" si="12"/>
        <v>11178.58</v>
      </c>
      <c r="Q200" s="16"/>
    </row>
    <row r="201" spans="3:17" ht="15.75" customHeight="1">
      <c r="C201" s="5" t="s">
        <v>497</v>
      </c>
      <c r="E201" s="306">
        <v>6.25</v>
      </c>
      <c r="F201" s="110"/>
      <c r="G201" s="70">
        <v>36571</v>
      </c>
      <c r="H201" s="98">
        <v>47618</v>
      </c>
      <c r="I201" s="98"/>
      <c r="J201" s="2"/>
      <c r="K201" s="25" t="s">
        <v>154</v>
      </c>
      <c r="L201" s="31">
        <v>17043.162</v>
      </c>
      <c r="M201" s="16"/>
      <c r="N201" s="40">
        <v>0</v>
      </c>
      <c r="O201" s="21"/>
      <c r="P201" s="31">
        <f t="shared" si="12"/>
        <v>17043.162</v>
      </c>
      <c r="Q201" s="16"/>
    </row>
    <row r="202" spans="3:17" ht="15.75" customHeight="1">
      <c r="C202" s="5" t="s">
        <v>498</v>
      </c>
      <c r="E202" s="306">
        <v>5.375</v>
      </c>
      <c r="F202" s="110"/>
      <c r="G202" s="70">
        <v>36937</v>
      </c>
      <c r="H202" s="98">
        <v>47894</v>
      </c>
      <c r="I202" s="98"/>
      <c r="J202" s="2"/>
      <c r="K202" s="25" t="s">
        <v>932</v>
      </c>
      <c r="L202" s="31">
        <v>16427.648</v>
      </c>
      <c r="M202" s="16"/>
      <c r="N202" s="40">
        <v>0</v>
      </c>
      <c r="O202" s="21"/>
      <c r="P202" s="31">
        <f t="shared" si="12"/>
        <v>16427.648</v>
      </c>
      <c r="Q202" s="16"/>
    </row>
    <row r="203" spans="2:17" ht="15.75" customHeight="1">
      <c r="B203" s="5" t="s">
        <v>453</v>
      </c>
      <c r="F203" s="34"/>
      <c r="G203" s="11" t="s">
        <v>939</v>
      </c>
      <c r="H203" s="37" t="s">
        <v>939</v>
      </c>
      <c r="I203" s="37" t="s">
        <v>939</v>
      </c>
      <c r="J203" s="2"/>
      <c r="K203" s="25" t="s">
        <v>939</v>
      </c>
      <c r="L203" s="45">
        <f>SUM(L153:L202)</f>
        <v>596987.279</v>
      </c>
      <c r="M203" s="158"/>
      <c r="N203" s="45">
        <f>SUM(N153:N202)</f>
        <v>-67074.2</v>
      </c>
      <c r="O203" s="158"/>
      <c r="P203" s="45">
        <f t="shared" si="12"/>
        <v>529913.079</v>
      </c>
      <c r="Q203" s="158"/>
    </row>
    <row r="204" spans="2:17" ht="15.75" customHeight="1">
      <c r="B204" t="s">
        <v>454</v>
      </c>
      <c r="F204" s="34"/>
      <c r="G204" s="11" t="s">
        <v>939</v>
      </c>
      <c r="H204" s="37" t="s">
        <v>939</v>
      </c>
      <c r="I204" s="37" t="s">
        <v>939</v>
      </c>
      <c r="J204" s="2"/>
      <c r="K204" s="25" t="s">
        <v>939</v>
      </c>
      <c r="L204" s="45">
        <v>63.109</v>
      </c>
      <c r="M204" s="16"/>
      <c r="N204" s="40">
        <v>0</v>
      </c>
      <c r="O204" s="21"/>
      <c r="P204" s="31">
        <f t="shared" si="12"/>
        <v>63.109</v>
      </c>
      <c r="Q204" s="16"/>
    </row>
    <row r="205" spans="2:17" ht="15.75" customHeight="1" thickBot="1">
      <c r="B205" s="59" t="s">
        <v>433</v>
      </c>
      <c r="F205" s="34"/>
      <c r="G205" s="11" t="s">
        <v>939</v>
      </c>
      <c r="H205" s="37" t="s">
        <v>939</v>
      </c>
      <c r="I205" s="37" t="s">
        <v>939</v>
      </c>
      <c r="J205" s="2"/>
      <c r="K205" s="25" t="s">
        <v>939</v>
      </c>
      <c r="L205" s="162">
        <f>+L203+L204</f>
        <v>597050.388</v>
      </c>
      <c r="M205" s="163"/>
      <c r="N205" s="162">
        <f>+N203+N204</f>
        <v>-67074.2</v>
      </c>
      <c r="O205" s="163"/>
      <c r="P205" s="162">
        <f>+L205+N205</f>
        <v>529976.1880000001</v>
      </c>
      <c r="Q205" s="163"/>
    </row>
    <row r="206" spans="2:16" ht="21" customHeight="1" thickTop="1">
      <c r="B206" t="s">
        <v>1161</v>
      </c>
      <c r="C206" s="34"/>
      <c r="D206" s="50"/>
      <c r="F206" s="110" t="s">
        <v>564</v>
      </c>
      <c r="G206" s="36"/>
      <c r="H206" s="36"/>
      <c r="I206" s="36"/>
      <c r="K206" s="25"/>
      <c r="L206" s="9"/>
      <c r="N206" s="9"/>
      <c r="P206" s="9"/>
    </row>
    <row r="207" spans="2:16" ht="17.25" customHeight="1">
      <c r="B207" s="5" t="s">
        <v>283</v>
      </c>
      <c r="D207" s="2" t="s">
        <v>1039</v>
      </c>
      <c r="E207" s="2" t="s">
        <v>1040</v>
      </c>
      <c r="F207" s="2"/>
      <c r="G207" s="54"/>
      <c r="H207" s="36"/>
      <c r="I207" s="36"/>
      <c r="K207" s="25"/>
      <c r="L207" s="9"/>
      <c r="N207" s="9"/>
      <c r="P207" s="9"/>
    </row>
    <row r="208" spans="3:17" ht="15.75" customHeight="1">
      <c r="C208" s="5" t="s">
        <v>1055</v>
      </c>
      <c r="D208" s="39" t="s">
        <v>1047</v>
      </c>
      <c r="E208" s="306">
        <v>3.375</v>
      </c>
      <c r="F208" s="110"/>
      <c r="G208" s="37">
        <v>35467</v>
      </c>
      <c r="H208" s="307">
        <v>39097</v>
      </c>
      <c r="I208" s="70"/>
      <c r="J208" s="68"/>
      <c r="K208" s="25" t="s">
        <v>228</v>
      </c>
      <c r="L208" s="31">
        <v>15757.971</v>
      </c>
      <c r="M208" s="16"/>
      <c r="N208" s="80">
        <v>3577.69</v>
      </c>
      <c r="O208" s="21"/>
      <c r="P208" s="31">
        <f aca="true" t="shared" si="13" ref="P208:P216">L208+N208</f>
        <v>19335.661</v>
      </c>
      <c r="Q208" s="16"/>
    </row>
    <row r="209" spans="3:17" ht="15.75" customHeight="1">
      <c r="C209" s="5" t="s">
        <v>499</v>
      </c>
      <c r="D209" s="39" t="s">
        <v>1047</v>
      </c>
      <c r="E209" s="306">
        <v>3.625</v>
      </c>
      <c r="F209" s="110"/>
      <c r="G209" s="37">
        <v>35810</v>
      </c>
      <c r="H209" s="307">
        <v>39462</v>
      </c>
      <c r="I209" s="70"/>
      <c r="J209" s="68"/>
      <c r="K209" s="25" t="s">
        <v>228</v>
      </c>
      <c r="L209" s="31">
        <v>16811.55</v>
      </c>
      <c r="M209" s="16"/>
      <c r="N209" s="80">
        <v>3418.629</v>
      </c>
      <c r="O209" s="21"/>
      <c r="P209" s="31">
        <f t="shared" si="13"/>
        <v>20230.179</v>
      </c>
      <c r="Q209" s="16"/>
    </row>
    <row r="210" spans="3:17" ht="15.75" customHeight="1">
      <c r="C210" s="5" t="s">
        <v>500</v>
      </c>
      <c r="D210" s="39" t="s">
        <v>1047</v>
      </c>
      <c r="E210" s="306">
        <v>3.875</v>
      </c>
      <c r="F210" s="110"/>
      <c r="G210" s="41">
        <v>36175</v>
      </c>
      <c r="H210" s="307">
        <v>39828</v>
      </c>
      <c r="I210" s="70"/>
      <c r="J210" s="68"/>
      <c r="K210" s="25" t="s">
        <v>228</v>
      </c>
      <c r="L210" s="31">
        <v>15902.397</v>
      </c>
      <c r="M210" s="16"/>
      <c r="N210" s="80">
        <v>2948.463</v>
      </c>
      <c r="O210" s="21"/>
      <c r="P210" s="31">
        <f t="shared" si="13"/>
        <v>18850.86</v>
      </c>
      <c r="Q210" s="16"/>
    </row>
    <row r="211" spans="3:17" ht="15.75" customHeight="1">
      <c r="C211" s="5" t="s">
        <v>501</v>
      </c>
      <c r="D211" s="39" t="s">
        <v>1047</v>
      </c>
      <c r="E211" s="306">
        <v>4.25</v>
      </c>
      <c r="F211" s="110"/>
      <c r="G211" s="41">
        <v>36543</v>
      </c>
      <c r="H211" s="307">
        <v>40193</v>
      </c>
      <c r="I211" s="70"/>
      <c r="J211" s="68"/>
      <c r="K211" s="25" t="s">
        <v>228</v>
      </c>
      <c r="L211" s="31">
        <v>11320.963</v>
      </c>
      <c r="M211" s="16"/>
      <c r="N211" s="80">
        <v>1760.41</v>
      </c>
      <c r="O211" s="21"/>
      <c r="P211" s="31">
        <f t="shared" si="13"/>
        <v>13081.373</v>
      </c>
      <c r="Q211" s="16"/>
    </row>
    <row r="212" spans="3:17" ht="15.75" customHeight="1">
      <c r="C212" s="5" t="s">
        <v>422</v>
      </c>
      <c r="D212" s="39" t="s">
        <v>165</v>
      </c>
      <c r="E212" s="306">
        <v>0.875</v>
      </c>
      <c r="F212" s="110"/>
      <c r="G212" s="41">
        <v>38289</v>
      </c>
      <c r="H212" s="307">
        <v>40283</v>
      </c>
      <c r="I212" s="70"/>
      <c r="J212" s="68"/>
      <c r="K212" s="25" t="s">
        <v>150</v>
      </c>
      <c r="L212" s="31">
        <v>21000.907</v>
      </c>
      <c r="M212" s="16"/>
      <c r="N212" s="80">
        <v>550.014</v>
      </c>
      <c r="O212" s="21"/>
      <c r="P212" s="31">
        <f t="shared" si="13"/>
        <v>21550.921</v>
      </c>
      <c r="Q212" s="16"/>
    </row>
    <row r="213" spans="3:17" ht="15.75" customHeight="1">
      <c r="C213" s="5" t="s">
        <v>423</v>
      </c>
      <c r="D213" s="39" t="s">
        <v>1047</v>
      </c>
      <c r="E213" s="306">
        <v>3.5</v>
      </c>
      <c r="F213" s="110"/>
      <c r="G213" s="41">
        <v>36907</v>
      </c>
      <c r="H213" s="307">
        <v>40558</v>
      </c>
      <c r="I213" s="70"/>
      <c r="J213" s="2"/>
      <c r="K213" s="25" t="s">
        <v>228</v>
      </c>
      <c r="L213" s="31">
        <v>11001.036</v>
      </c>
      <c r="M213" s="16"/>
      <c r="N213" s="40">
        <v>1287.011</v>
      </c>
      <c r="O213" s="34"/>
      <c r="P213" s="31">
        <f t="shared" si="13"/>
        <v>12288.047</v>
      </c>
      <c r="Q213" s="16"/>
    </row>
    <row r="214" spans="3:17" ht="15.75" customHeight="1">
      <c r="C214" s="5" t="s">
        <v>502</v>
      </c>
      <c r="D214" s="39" t="s">
        <v>1047</v>
      </c>
      <c r="E214" s="306">
        <v>3.375</v>
      </c>
      <c r="F214" s="110"/>
      <c r="G214" s="41">
        <v>37271</v>
      </c>
      <c r="H214" s="307">
        <v>40923</v>
      </c>
      <c r="I214" s="70"/>
      <c r="J214" s="2"/>
      <c r="K214" s="25" t="s">
        <v>228</v>
      </c>
      <c r="L214" s="31">
        <v>6004.283</v>
      </c>
      <c r="M214" s="16"/>
      <c r="N214" s="40">
        <v>569.506</v>
      </c>
      <c r="O214" s="21"/>
      <c r="P214" s="31">
        <f>L214+N214</f>
        <v>6573.789000000001</v>
      </c>
      <c r="Q214" s="16"/>
    </row>
    <row r="215" spans="3:17" ht="15.75" customHeight="1">
      <c r="C215" s="5" t="s">
        <v>1056</v>
      </c>
      <c r="D215" s="39" t="s">
        <v>160</v>
      </c>
      <c r="E215" s="306">
        <v>3</v>
      </c>
      <c r="F215" s="110"/>
      <c r="G215" s="41">
        <v>37452</v>
      </c>
      <c r="H215" s="307">
        <v>41105</v>
      </c>
      <c r="I215" s="70"/>
      <c r="J215" s="2"/>
      <c r="K215" s="25" t="s">
        <v>1044</v>
      </c>
      <c r="L215" s="31">
        <v>23017.701</v>
      </c>
      <c r="M215" s="16"/>
      <c r="N215" s="40">
        <v>1869.958</v>
      </c>
      <c r="O215" s="21"/>
      <c r="P215" s="31">
        <f>L215+N215</f>
        <v>24887.659</v>
      </c>
      <c r="Q215" s="16"/>
    </row>
    <row r="216" spans="3:17" ht="15.75" customHeight="1">
      <c r="C216" s="5" t="s">
        <v>503</v>
      </c>
      <c r="D216" s="39" t="s">
        <v>160</v>
      </c>
      <c r="E216" s="306">
        <v>1.875</v>
      </c>
      <c r="F216" s="110"/>
      <c r="G216" s="41">
        <v>37817</v>
      </c>
      <c r="H216" s="307">
        <v>41470</v>
      </c>
      <c r="I216" s="70"/>
      <c r="J216" s="2"/>
      <c r="K216" s="25" t="s">
        <v>1044</v>
      </c>
      <c r="L216" s="31">
        <v>20008.319</v>
      </c>
      <c r="M216" s="16"/>
      <c r="N216" s="40">
        <v>1170.287</v>
      </c>
      <c r="O216" s="21"/>
      <c r="P216" s="31">
        <f t="shared" si="13"/>
        <v>21178.606</v>
      </c>
      <c r="Q216" s="16"/>
    </row>
    <row r="217" spans="3:17" ht="15.75" customHeight="1">
      <c r="C217" s="5" t="s">
        <v>504</v>
      </c>
      <c r="D217" s="39" t="s">
        <v>1047</v>
      </c>
      <c r="E217" s="306">
        <v>2</v>
      </c>
      <c r="F217" s="110"/>
      <c r="G217" s="41">
        <v>38001</v>
      </c>
      <c r="H217" s="307">
        <v>41654</v>
      </c>
      <c r="I217" s="70"/>
      <c r="J217" s="2"/>
      <c r="K217" s="25" t="s">
        <v>228</v>
      </c>
      <c r="L217" s="31">
        <v>21001.562</v>
      </c>
      <c r="M217" s="16"/>
      <c r="N217" s="40">
        <v>1094.811</v>
      </c>
      <c r="O217" s="21"/>
      <c r="P217" s="31">
        <f aca="true" t="shared" si="14" ref="P217:P224">L217+N217</f>
        <v>22096.373000000003</v>
      </c>
      <c r="Q217" s="16"/>
    </row>
    <row r="218" spans="3:17" ht="15.75" customHeight="1">
      <c r="C218" s="5" t="s">
        <v>505</v>
      </c>
      <c r="D218" s="39" t="s">
        <v>165</v>
      </c>
      <c r="E218" s="306">
        <v>2</v>
      </c>
      <c r="F218" s="110"/>
      <c r="G218" s="41">
        <v>38183</v>
      </c>
      <c r="H218" s="307">
        <v>41835</v>
      </c>
      <c r="I218" s="70"/>
      <c r="J218" s="2"/>
      <c r="K218" s="25" t="s">
        <v>1044</v>
      </c>
      <c r="L218" s="31">
        <v>19002.244</v>
      </c>
      <c r="M218" s="16"/>
      <c r="N218" s="40">
        <v>595.72</v>
      </c>
      <c r="O218" s="21"/>
      <c r="P218" s="31">
        <f t="shared" si="14"/>
        <v>19597.964</v>
      </c>
      <c r="Q218" s="16"/>
    </row>
    <row r="219" spans="3:17" ht="15.75" customHeight="1">
      <c r="C219" s="5" t="s">
        <v>506</v>
      </c>
      <c r="D219" s="39" t="s">
        <v>1047</v>
      </c>
      <c r="E219" s="306">
        <v>1.625</v>
      </c>
      <c r="F219" s="110"/>
      <c r="G219" s="41">
        <v>38370</v>
      </c>
      <c r="H219" s="307">
        <v>42019</v>
      </c>
      <c r="I219" s="70"/>
      <c r="J219" s="2"/>
      <c r="K219" s="25" t="s">
        <v>228</v>
      </c>
      <c r="L219" s="31">
        <v>19001.262</v>
      </c>
      <c r="M219" s="16"/>
      <c r="N219" s="40">
        <v>344.493</v>
      </c>
      <c r="O219" s="21"/>
      <c r="P219" s="31">
        <f t="shared" si="14"/>
        <v>19345.754999999997</v>
      </c>
      <c r="Q219" s="16"/>
    </row>
    <row r="220" spans="3:17" ht="15.75" customHeight="1">
      <c r="C220" s="5" t="s">
        <v>96</v>
      </c>
      <c r="D220" s="39" t="s">
        <v>165</v>
      </c>
      <c r="E220" s="306">
        <v>1.875</v>
      </c>
      <c r="F220" s="110"/>
      <c r="G220" s="41">
        <v>38548</v>
      </c>
      <c r="H220" s="307">
        <v>42200</v>
      </c>
      <c r="I220" s="70"/>
      <c r="J220" s="2"/>
      <c r="K220" s="25" t="s">
        <v>1044</v>
      </c>
      <c r="L220" s="31">
        <v>9000.25</v>
      </c>
      <c r="M220" s="16"/>
      <c r="N220" s="40">
        <v>0</v>
      </c>
      <c r="O220" s="21"/>
      <c r="P220" s="31">
        <f t="shared" si="14"/>
        <v>9000.25</v>
      </c>
      <c r="Q220" s="16"/>
    </row>
    <row r="221" spans="2:17" ht="15.75" customHeight="1">
      <c r="B221" s="67"/>
      <c r="C221" s="5" t="s">
        <v>739</v>
      </c>
      <c r="D221" s="39"/>
      <c r="E221" s="306">
        <v>2.375</v>
      </c>
      <c r="F221" s="110"/>
      <c r="G221" s="37">
        <v>38198</v>
      </c>
      <c r="H221" s="307">
        <v>45672</v>
      </c>
      <c r="I221" s="70"/>
      <c r="J221" s="68"/>
      <c r="K221" s="25" t="s">
        <v>1044</v>
      </c>
      <c r="L221" s="31">
        <v>28000.842</v>
      </c>
      <c r="M221" s="16"/>
      <c r="N221" s="80">
        <v>886.768</v>
      </c>
      <c r="O221" s="21"/>
      <c r="P221" s="31">
        <f t="shared" si="14"/>
        <v>28887.61</v>
      </c>
      <c r="Q221" s="16"/>
    </row>
    <row r="222" spans="2:17" ht="15.75" customHeight="1">
      <c r="B222" s="67"/>
      <c r="C222" s="5" t="s">
        <v>507</v>
      </c>
      <c r="D222" s="39"/>
      <c r="E222" s="306">
        <v>3.625</v>
      </c>
      <c r="F222" s="110"/>
      <c r="G222" s="37">
        <v>35900</v>
      </c>
      <c r="H222" s="307">
        <v>46858</v>
      </c>
      <c r="I222" s="70"/>
      <c r="J222" s="68"/>
      <c r="K222" s="25" t="s">
        <v>934</v>
      </c>
      <c r="L222" s="31">
        <v>16808.478</v>
      </c>
      <c r="M222" s="16"/>
      <c r="N222" s="80">
        <v>3364.759</v>
      </c>
      <c r="O222" s="21"/>
      <c r="P222" s="31">
        <f t="shared" si="14"/>
        <v>20173.237</v>
      </c>
      <c r="Q222" s="16"/>
    </row>
    <row r="223" spans="2:16" ht="15.75" customHeight="1">
      <c r="B223" s="67"/>
      <c r="C223" s="5" t="s">
        <v>508</v>
      </c>
      <c r="D223" s="39"/>
      <c r="E223" s="306">
        <v>3.875</v>
      </c>
      <c r="F223" s="110"/>
      <c r="G223" s="41">
        <v>36265</v>
      </c>
      <c r="H223" s="307">
        <v>47223</v>
      </c>
      <c r="I223" s="70"/>
      <c r="J223" s="68"/>
      <c r="K223" s="25" t="s">
        <v>934</v>
      </c>
      <c r="L223" s="31">
        <v>19722.104</v>
      </c>
      <c r="M223" s="16"/>
      <c r="N223" s="80">
        <v>3334.35</v>
      </c>
      <c r="O223" s="21"/>
      <c r="P223" s="31">
        <f t="shared" si="14"/>
        <v>23056.453999999998</v>
      </c>
    </row>
    <row r="224" spans="2:16" ht="15.75" customHeight="1">
      <c r="B224" s="67"/>
      <c r="C224" s="5" t="s">
        <v>509</v>
      </c>
      <c r="D224" s="39"/>
      <c r="E224" s="306">
        <v>3.375</v>
      </c>
      <c r="F224" s="110"/>
      <c r="G224" s="41">
        <v>37179</v>
      </c>
      <c r="H224" s="307">
        <v>48319</v>
      </c>
      <c r="I224" s="70"/>
      <c r="J224" s="68"/>
      <c r="K224" s="25" t="s">
        <v>150</v>
      </c>
      <c r="L224" s="31">
        <v>5012.235</v>
      </c>
      <c r="M224" s="16"/>
      <c r="N224" s="80">
        <v>477.415</v>
      </c>
      <c r="O224" s="21"/>
      <c r="P224" s="31">
        <f t="shared" si="14"/>
        <v>5489.65</v>
      </c>
    </row>
    <row r="225" spans="2:17" s="59" customFormat="1" ht="21" customHeight="1">
      <c r="B225" s="167" t="s">
        <v>1162</v>
      </c>
      <c r="F225" s="295"/>
      <c r="G225" s="294"/>
      <c r="H225" s="293" t="s">
        <v>939</v>
      </c>
      <c r="I225" s="308" t="s">
        <v>939</v>
      </c>
      <c r="J225" s="289"/>
      <c r="K225" s="293" t="s">
        <v>939</v>
      </c>
      <c r="L225" s="291">
        <f>SUM(L208:L224)</f>
        <v>278374.104</v>
      </c>
      <c r="M225" s="285"/>
      <c r="N225" s="284">
        <f>SUM(N208:N224)</f>
        <v>27250.284</v>
      </c>
      <c r="O225" s="286"/>
      <c r="P225" s="287">
        <f>L225+N225</f>
        <v>305624.388</v>
      </c>
      <c r="Q225" s="296"/>
    </row>
    <row r="226" spans="1:17" s="59" customFormat="1" ht="42" customHeight="1">
      <c r="A226" s="167" t="s">
        <v>267</v>
      </c>
      <c r="F226" s="295"/>
      <c r="G226" s="294"/>
      <c r="H226" s="293" t="s">
        <v>268</v>
      </c>
      <c r="I226" s="308" t="s">
        <v>268</v>
      </c>
      <c r="J226" s="289"/>
      <c r="K226" s="293" t="s">
        <v>268</v>
      </c>
      <c r="L226" s="298">
        <v>14000.01</v>
      </c>
      <c r="M226" s="299"/>
      <c r="N226" s="298">
        <v>0</v>
      </c>
      <c r="O226" s="300"/>
      <c r="P226" s="301">
        <f>L226+N226</f>
        <v>14000.01</v>
      </c>
      <c r="Q226" s="302"/>
    </row>
    <row r="227" spans="1:17" ht="33.75" customHeight="1" thickBot="1">
      <c r="A227" s="166" t="s">
        <v>112</v>
      </c>
      <c r="B227" s="166"/>
      <c r="F227" s="55"/>
      <c r="G227" s="288"/>
      <c r="H227" s="293" t="s">
        <v>939</v>
      </c>
      <c r="I227" s="308" t="s">
        <v>939</v>
      </c>
      <c r="J227" s="290"/>
      <c r="K227" s="293" t="s">
        <v>939</v>
      </c>
      <c r="L227" s="292">
        <f>+L225+L205+L152+L53+L226</f>
        <v>4117728.084</v>
      </c>
      <c r="M227" s="94"/>
      <c r="N227" s="79">
        <f>+N225+N205+N152+N53+N226</f>
        <v>-39823.916</v>
      </c>
      <c r="O227" s="94"/>
      <c r="P227" s="172">
        <f>+L227+N227</f>
        <v>4077904.1679999996</v>
      </c>
      <c r="Q227" s="93"/>
    </row>
    <row r="228" spans="6:17" s="48" customFormat="1" ht="15.75" customHeight="1" thickTop="1">
      <c r="F228" s="81"/>
      <c r="G228" s="82"/>
      <c r="H228" s="82"/>
      <c r="I228" s="82"/>
      <c r="J228" s="279"/>
      <c r="K228" s="83"/>
      <c r="L228" s="84"/>
      <c r="M228" s="85"/>
      <c r="N228" s="84"/>
      <c r="O228" s="85"/>
      <c r="P228" s="84"/>
      <c r="Q228" s="86"/>
    </row>
    <row r="229" ht="15">
      <c r="J229" s="24"/>
    </row>
    <row r="230" ht="16.5" customHeight="1">
      <c r="J230" s="24"/>
    </row>
    <row r="231" ht="15">
      <c r="J231" s="24"/>
    </row>
    <row r="232" ht="15">
      <c r="J232" s="24"/>
    </row>
    <row r="233" ht="15">
      <c r="J233" s="24"/>
    </row>
  </sheetData>
  <mergeCells count="1">
    <mergeCell ref="I3:J3"/>
  </mergeCells>
  <printOptions horizontalCentered="1"/>
  <pageMargins left="0" right="0" top="0.4" bottom="0.25" header="0" footer="0"/>
  <pageSetup fitToHeight="4" horizontalDpi="300" verticalDpi="300" orientation="portrait" scale="53" r:id="rId2"/>
  <rowBreaks count="1" manualBreakCount="1">
    <brk id="228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49"/>
  <sheetViews>
    <sheetView showGridLines="0" view="pageBreakPreview" zoomScale="75" zoomScaleNormal="75" zoomScaleSheetLayoutView="75" workbookViewId="0" topLeftCell="A1">
      <selection activeCell="C5" sqref="C5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5.2148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8" max="18" width="6.10546875" style="0" customWidth="1"/>
    <col min="19" max="19" width="12.21484375" style="0" bestFit="1" customWidth="1"/>
  </cols>
  <sheetData>
    <row r="1" spans="1:16" s="319" customFormat="1" ht="27.75" customHeight="1" thickBot="1">
      <c r="A1" s="320">
        <v>6</v>
      </c>
      <c r="B1" s="321" t="e">
        <f>(Marketable!#REF!)</f>
        <v>#REF!</v>
      </c>
      <c r="C1" s="321"/>
      <c r="D1" s="321"/>
      <c r="E1" s="322"/>
      <c r="F1" s="322"/>
      <c r="G1" s="322"/>
      <c r="H1" s="322"/>
      <c r="I1" s="324"/>
      <c r="J1" s="322"/>
      <c r="K1" s="322"/>
      <c r="L1" s="322"/>
      <c r="M1" s="322"/>
      <c r="N1" s="322"/>
      <c r="O1" s="322"/>
      <c r="P1" s="321"/>
    </row>
    <row r="2" spans="7:16" ht="30.75" customHeight="1" thickTop="1">
      <c r="G2" s="11" t="s">
        <v>1021</v>
      </c>
      <c r="H2" s="395" t="s">
        <v>300</v>
      </c>
      <c r="I2" s="396"/>
      <c r="J2" s="25" t="s">
        <v>1022</v>
      </c>
      <c r="K2" s="11" t="s">
        <v>296</v>
      </c>
      <c r="L2" s="2"/>
      <c r="M2" s="2"/>
      <c r="N2" s="2"/>
      <c r="O2" s="2"/>
      <c r="P2" s="2"/>
    </row>
    <row r="3" spans="1:11" ht="15.75" customHeight="1">
      <c r="A3" s="2" t="s">
        <v>297</v>
      </c>
      <c r="B3" s="2"/>
      <c r="C3" s="2"/>
      <c r="D3" s="2"/>
      <c r="E3" s="2"/>
      <c r="F3" s="2"/>
      <c r="G3" s="25" t="s">
        <v>298</v>
      </c>
      <c r="H3" s="395"/>
      <c r="I3" s="396"/>
      <c r="J3" s="25" t="s">
        <v>300</v>
      </c>
      <c r="K3" s="9"/>
    </row>
    <row r="4" spans="1:16" ht="16.5" customHeight="1">
      <c r="A4" s="10"/>
      <c r="B4" s="10"/>
      <c r="C4" s="10"/>
      <c r="D4" s="10"/>
      <c r="E4" s="10"/>
      <c r="F4" s="10"/>
      <c r="G4" s="26"/>
      <c r="H4" s="26"/>
      <c r="I4" s="27"/>
      <c r="J4" s="26"/>
      <c r="K4" s="28" t="s">
        <v>301</v>
      </c>
      <c r="L4" s="121"/>
      <c r="M4" s="28" t="s">
        <v>280</v>
      </c>
      <c r="N4" s="29"/>
      <c r="O4" s="28" t="s">
        <v>262</v>
      </c>
      <c r="P4" s="29"/>
    </row>
    <row r="5" spans="1:20" ht="33.75" customHeight="1">
      <c r="A5" s="18" t="s">
        <v>265</v>
      </c>
      <c r="B5" s="17"/>
      <c r="C5" s="17"/>
      <c r="D5" s="17"/>
      <c r="E5" s="4"/>
      <c r="F5" s="4"/>
      <c r="G5" s="9"/>
      <c r="H5" s="9"/>
      <c r="J5" s="9"/>
      <c r="K5" s="9"/>
      <c r="L5" s="20"/>
      <c r="M5" s="9"/>
      <c r="O5" s="9"/>
      <c r="T5" s="12"/>
    </row>
    <row r="6" spans="2:15" ht="21" customHeight="1">
      <c r="B6" s="5" t="s">
        <v>351</v>
      </c>
      <c r="G6" s="9"/>
      <c r="H6" s="9"/>
      <c r="J6" s="9"/>
      <c r="K6" s="9"/>
      <c r="L6" s="20"/>
      <c r="M6" s="9"/>
      <c r="O6" s="9"/>
    </row>
    <row r="7" spans="3:16" ht="16.5" customHeight="1">
      <c r="C7" s="5" t="s">
        <v>236</v>
      </c>
      <c r="G7" s="71">
        <v>32808</v>
      </c>
      <c r="H7" s="72">
        <v>43753</v>
      </c>
      <c r="I7" s="2"/>
      <c r="J7" s="71">
        <v>43753</v>
      </c>
      <c r="K7" s="31">
        <v>4522.068</v>
      </c>
      <c r="L7" s="20"/>
      <c r="M7" s="31">
        <v>0</v>
      </c>
      <c r="N7" s="122"/>
      <c r="O7" s="31">
        <f aca="true" t="shared" si="0" ref="O7:O14">K7+M7</f>
        <v>4522.068</v>
      </c>
      <c r="P7" s="16"/>
    </row>
    <row r="8" spans="3:16" ht="16.5" customHeight="1">
      <c r="C8" s="5" t="s">
        <v>236</v>
      </c>
      <c r="G8" s="71">
        <v>33070</v>
      </c>
      <c r="H8" s="72">
        <v>44027</v>
      </c>
      <c r="I8" s="2"/>
      <c r="J8" s="71">
        <v>44027</v>
      </c>
      <c r="K8" s="31">
        <v>5026.13</v>
      </c>
      <c r="L8" s="15"/>
      <c r="M8" s="31">
        <v>0</v>
      </c>
      <c r="N8" s="21"/>
      <c r="O8" s="31">
        <f t="shared" si="0"/>
        <v>5026.13</v>
      </c>
      <c r="P8" s="16"/>
    </row>
    <row r="9" spans="3:16" ht="16.5" customHeight="1">
      <c r="C9" s="5" t="s">
        <v>237</v>
      </c>
      <c r="G9" s="71">
        <v>33151</v>
      </c>
      <c r="H9" s="72">
        <v>44119</v>
      </c>
      <c r="I9" s="2"/>
      <c r="J9" s="71">
        <v>44119</v>
      </c>
      <c r="K9" s="31">
        <v>2.75</v>
      </c>
      <c r="L9" s="15"/>
      <c r="M9" s="31">
        <v>0</v>
      </c>
      <c r="N9" s="21"/>
      <c r="O9" s="31">
        <f t="shared" si="0"/>
        <v>2.75</v>
      </c>
      <c r="P9" s="16"/>
    </row>
    <row r="10" spans="3:16" ht="16.5" customHeight="1">
      <c r="C10" s="5" t="s">
        <v>238</v>
      </c>
      <c r="G10" s="71">
        <v>33151</v>
      </c>
      <c r="H10" s="72">
        <v>44119</v>
      </c>
      <c r="I10" s="2"/>
      <c r="J10" s="71">
        <v>44119</v>
      </c>
      <c r="K10" s="31">
        <v>5000</v>
      </c>
      <c r="L10" s="15"/>
      <c r="M10" s="31">
        <v>0</v>
      </c>
      <c r="N10" s="21"/>
      <c r="O10" s="31">
        <f>K10+M10</f>
        <v>5000</v>
      </c>
      <c r="P10" s="16"/>
    </row>
    <row r="11" spans="3:16" ht="16.5" customHeight="1">
      <c r="C11" s="5" t="s">
        <v>236</v>
      </c>
      <c r="G11" s="71">
        <v>33252</v>
      </c>
      <c r="H11" s="72">
        <v>44211</v>
      </c>
      <c r="I11" s="2"/>
      <c r="J11" s="71">
        <v>44211</v>
      </c>
      <c r="K11" s="31">
        <v>4940.921</v>
      </c>
      <c r="L11" s="15"/>
      <c r="M11" s="31">
        <v>0</v>
      </c>
      <c r="N11" s="21"/>
      <c r="O11" s="31">
        <f t="shared" si="0"/>
        <v>4940.921</v>
      </c>
      <c r="P11" s="16"/>
    </row>
    <row r="12" spans="3:16" ht="16.5" customHeight="1">
      <c r="C12" s="5" t="s">
        <v>236</v>
      </c>
      <c r="G12" s="71">
        <v>32902</v>
      </c>
      <c r="H12" s="72">
        <v>47498</v>
      </c>
      <c r="I12" s="2"/>
      <c r="J12" s="71">
        <v>47498</v>
      </c>
      <c r="K12" s="31">
        <v>5002.232</v>
      </c>
      <c r="L12" s="15"/>
      <c r="M12" s="31">
        <v>0</v>
      </c>
      <c r="N12" s="21"/>
      <c r="O12" s="31">
        <f t="shared" si="0"/>
        <v>5002.232</v>
      </c>
      <c r="P12" s="16"/>
    </row>
    <row r="13" spans="3:16" ht="16.5" customHeight="1">
      <c r="C13" s="5" t="s">
        <v>236</v>
      </c>
      <c r="G13" s="71">
        <v>32979</v>
      </c>
      <c r="H13" s="72">
        <v>47588</v>
      </c>
      <c r="I13" s="2"/>
      <c r="J13" s="71">
        <v>47588</v>
      </c>
      <c r="K13" s="31">
        <v>3501.265</v>
      </c>
      <c r="L13" s="15"/>
      <c r="M13" s="31">
        <v>0</v>
      </c>
      <c r="N13" s="21"/>
      <c r="O13" s="31">
        <f t="shared" si="0"/>
        <v>3501.265</v>
      </c>
      <c r="P13" s="16"/>
    </row>
    <row r="14" spans="3:16" ht="16.5" customHeight="1">
      <c r="C14" s="5" t="s">
        <v>236</v>
      </c>
      <c r="G14" s="71">
        <v>33252</v>
      </c>
      <c r="H14" s="72">
        <v>47588</v>
      </c>
      <c r="I14" s="2"/>
      <c r="J14" s="71">
        <v>47588</v>
      </c>
      <c r="K14" s="31">
        <v>1999.814</v>
      </c>
      <c r="L14" s="15"/>
      <c r="M14" s="31">
        <v>0</v>
      </c>
      <c r="N14" s="21"/>
      <c r="O14" s="31">
        <f t="shared" si="0"/>
        <v>1999.814</v>
      </c>
      <c r="P14" s="16"/>
    </row>
    <row r="15" spans="2:16" ht="21" customHeight="1" thickBot="1">
      <c r="B15" s="167" t="s">
        <v>1141</v>
      </c>
      <c r="G15" s="25" t="s">
        <v>939</v>
      </c>
      <c r="H15" s="11" t="s">
        <v>939</v>
      </c>
      <c r="I15" s="2"/>
      <c r="J15" s="25" t="s">
        <v>939</v>
      </c>
      <c r="K15" s="162">
        <f>SUM(K7:K14)</f>
        <v>29995.179999999997</v>
      </c>
      <c r="L15" s="170"/>
      <c r="M15" s="162">
        <f>SUM(M6:M14)</f>
        <v>0</v>
      </c>
      <c r="N15" s="165"/>
      <c r="O15" s="162">
        <f>SUM(O7:O14)</f>
        <v>29995.179999999997</v>
      </c>
      <c r="P15" s="171"/>
    </row>
    <row r="16" spans="2:15" ht="36.75" customHeight="1" thickTop="1">
      <c r="B16" s="5" t="s">
        <v>1142</v>
      </c>
      <c r="E16" s="14"/>
      <c r="F16" s="110"/>
      <c r="G16" s="9"/>
      <c r="H16" s="9"/>
      <c r="J16" s="9"/>
      <c r="K16" s="9"/>
      <c r="L16" s="20"/>
      <c r="M16" s="120"/>
      <c r="O16" s="9"/>
    </row>
    <row r="17" spans="3:16" ht="16.5" customHeight="1">
      <c r="C17" s="5" t="s">
        <v>239</v>
      </c>
      <c r="F17" s="110">
        <v>10</v>
      </c>
      <c r="G17" s="71">
        <v>33225</v>
      </c>
      <c r="H17" s="72">
        <v>43921</v>
      </c>
      <c r="I17" s="2"/>
      <c r="J17" s="71">
        <v>43921</v>
      </c>
      <c r="K17" s="31">
        <v>7258.01</v>
      </c>
      <c r="L17" s="16"/>
      <c r="M17" s="40">
        <v>-4536.703</v>
      </c>
      <c r="N17" s="16"/>
      <c r="O17" s="31">
        <f>K17+M17</f>
        <v>2721.307</v>
      </c>
      <c r="P17" s="16"/>
    </row>
    <row r="18" spans="3:16" ht="16.5" customHeight="1">
      <c r="C18" s="5" t="s">
        <v>758</v>
      </c>
      <c r="F18" s="110">
        <v>10</v>
      </c>
      <c r="G18" s="71">
        <v>34066</v>
      </c>
      <c r="H18" s="72">
        <v>45016</v>
      </c>
      <c r="I18" s="2"/>
      <c r="J18" s="71">
        <v>45016</v>
      </c>
      <c r="K18" s="31">
        <v>6685</v>
      </c>
      <c r="L18" s="16"/>
      <c r="M18" s="40">
        <v>-6420.658</v>
      </c>
      <c r="N18" s="131"/>
      <c r="O18" s="31">
        <f>K18+M18</f>
        <v>264.34199999999964</v>
      </c>
      <c r="P18" s="16"/>
    </row>
    <row r="19" spans="2:16" ht="20.25" customHeight="1" thickBot="1">
      <c r="B19" s="167" t="s">
        <v>1144</v>
      </c>
      <c r="G19" s="25" t="s">
        <v>939</v>
      </c>
      <c r="H19" s="11" t="s">
        <v>939</v>
      </c>
      <c r="I19" s="2"/>
      <c r="J19" s="25" t="s">
        <v>939</v>
      </c>
      <c r="K19" s="162">
        <f>SUM(K17:K18)</f>
        <v>13943.01</v>
      </c>
      <c r="L19" s="163"/>
      <c r="M19" s="169">
        <f>SUM(M17:M18)</f>
        <v>-10957.361</v>
      </c>
      <c r="N19" s="163"/>
      <c r="O19" s="162">
        <f>SUM(O17:O18)</f>
        <v>2985.6489999999994</v>
      </c>
      <c r="P19" s="163"/>
    </row>
    <row r="20" spans="2:15" ht="37.5" customHeight="1" thickTop="1">
      <c r="B20" s="5" t="s">
        <v>1145</v>
      </c>
      <c r="G20" s="9"/>
      <c r="H20" s="9"/>
      <c r="J20" s="9"/>
      <c r="K20" s="9"/>
      <c r="M20" s="9"/>
      <c r="O20" s="9"/>
    </row>
    <row r="21" spans="3:15" ht="16.5" customHeight="1">
      <c r="C21" s="5" t="s">
        <v>1146</v>
      </c>
      <c r="G21" s="9"/>
      <c r="H21" s="9"/>
      <c r="J21" s="9"/>
      <c r="K21" s="31"/>
      <c r="M21" s="31" t="s">
        <v>259</v>
      </c>
      <c r="O21" s="31"/>
    </row>
    <row r="22" spans="3:15" ht="16.5" customHeight="1">
      <c r="C22" s="5" t="s">
        <v>1147</v>
      </c>
      <c r="G22" s="25" t="s">
        <v>350</v>
      </c>
      <c r="H22" s="11" t="s">
        <v>939</v>
      </c>
      <c r="I22" s="2"/>
      <c r="J22" s="25" t="s">
        <v>1148</v>
      </c>
      <c r="K22" s="31">
        <v>53.903988</v>
      </c>
      <c r="M22" s="40">
        <v>-52.850988</v>
      </c>
      <c r="N22" s="34"/>
      <c r="O22" s="42">
        <f>(K22+M22)</f>
        <v>1.0529999999999973</v>
      </c>
    </row>
    <row r="23" spans="2:16" ht="20.25" customHeight="1" thickBot="1">
      <c r="B23" s="167" t="s">
        <v>1149</v>
      </c>
      <c r="G23" s="25" t="s">
        <v>939</v>
      </c>
      <c r="H23" s="11" t="s">
        <v>939</v>
      </c>
      <c r="I23" s="2"/>
      <c r="J23" s="25" t="s">
        <v>939</v>
      </c>
      <c r="K23" s="162">
        <f>K22</f>
        <v>53.903988</v>
      </c>
      <c r="L23" s="168"/>
      <c r="M23" s="162">
        <f>M22</f>
        <v>-52.850988</v>
      </c>
      <c r="N23" s="168"/>
      <c r="O23" s="172">
        <f>(K23+M23)</f>
        <v>1.0529999999999973</v>
      </c>
      <c r="P23" s="168"/>
    </row>
    <row r="24" spans="2:15" ht="36.75" customHeight="1" thickTop="1">
      <c r="B24" s="5" t="s">
        <v>672</v>
      </c>
      <c r="G24" s="9"/>
      <c r="H24" s="9"/>
      <c r="J24" s="9"/>
      <c r="K24" s="9"/>
      <c r="M24" s="9"/>
      <c r="O24" s="9"/>
    </row>
    <row r="25" spans="3:15" ht="16.5" customHeight="1">
      <c r="C25" s="5" t="s">
        <v>22</v>
      </c>
      <c r="G25" s="9"/>
      <c r="H25" s="9"/>
      <c r="J25" s="9"/>
      <c r="K25" s="31"/>
      <c r="M25" s="31"/>
      <c r="O25" s="31"/>
    </row>
    <row r="26" spans="3:15" ht="16.5" customHeight="1">
      <c r="C26" s="5" t="s">
        <v>23</v>
      </c>
      <c r="G26" s="25" t="s">
        <v>350</v>
      </c>
      <c r="H26" s="11" t="s">
        <v>939</v>
      </c>
      <c r="I26" s="2"/>
      <c r="J26" s="25" t="s">
        <v>24</v>
      </c>
      <c r="K26" s="31">
        <v>268076.632</v>
      </c>
      <c r="M26" s="40">
        <v>-256085.412</v>
      </c>
      <c r="N26" s="34"/>
      <c r="O26" s="73">
        <f>(K26+M26)</f>
        <v>11991.219999999972</v>
      </c>
    </row>
    <row r="27" spans="3:15" ht="16.5" customHeight="1">
      <c r="C27" s="5" t="s">
        <v>25</v>
      </c>
      <c r="G27" s="9"/>
      <c r="H27" s="9"/>
      <c r="J27" s="9"/>
      <c r="K27" s="31"/>
      <c r="M27" s="40" t="s">
        <v>259</v>
      </c>
      <c r="N27" s="34"/>
      <c r="O27" s="31"/>
    </row>
    <row r="28" spans="3:15" ht="16.5" customHeight="1">
      <c r="C28" s="5" t="s">
        <v>947</v>
      </c>
      <c r="G28" s="25" t="s">
        <v>350</v>
      </c>
      <c r="H28" s="11" t="s">
        <v>939</v>
      </c>
      <c r="I28" s="2"/>
      <c r="J28" s="25" t="s">
        <v>350</v>
      </c>
      <c r="K28" s="31">
        <v>518619.442</v>
      </c>
      <c r="M28" s="40">
        <v>-336197.808</v>
      </c>
      <c r="N28" s="34"/>
      <c r="O28" s="73">
        <f>(K28+M28)</f>
        <v>182421.63399999996</v>
      </c>
    </row>
    <row r="29" spans="3:15" ht="16.5" customHeight="1">
      <c r="C29" s="5" t="s">
        <v>949</v>
      </c>
      <c r="G29" s="9"/>
      <c r="H29" s="9"/>
      <c r="J29" s="9"/>
      <c r="K29" s="31"/>
      <c r="M29" s="40" t="s">
        <v>259</v>
      </c>
      <c r="N29" s="34"/>
      <c r="O29" s="31"/>
    </row>
    <row r="30" spans="3:15" ht="16.5" customHeight="1">
      <c r="C30" s="5" t="s">
        <v>947</v>
      </c>
      <c r="G30" s="25" t="s">
        <v>350</v>
      </c>
      <c r="H30" s="11" t="s">
        <v>939</v>
      </c>
      <c r="I30" s="2"/>
      <c r="J30" s="25" t="s">
        <v>350</v>
      </c>
      <c r="K30" s="31">
        <v>57150.518</v>
      </c>
      <c r="M30" s="40">
        <v>-38602.183</v>
      </c>
      <c r="N30" s="34"/>
      <c r="O30" s="73">
        <f>(K30+M30)</f>
        <v>18548.335</v>
      </c>
    </row>
    <row r="31" spans="3:16" ht="16.5" customHeight="1">
      <c r="C31" s="5" t="s">
        <v>233</v>
      </c>
      <c r="F31" s="110">
        <v>10</v>
      </c>
      <c r="G31" s="25" t="s">
        <v>350</v>
      </c>
      <c r="H31" s="11" t="s">
        <v>939</v>
      </c>
      <c r="I31" s="2"/>
      <c r="J31" s="25" t="s">
        <v>234</v>
      </c>
      <c r="K31" s="31">
        <v>5232.276</v>
      </c>
      <c r="L31" s="48"/>
      <c r="M31" s="40">
        <v>-5142.589</v>
      </c>
      <c r="N31" s="268"/>
      <c r="O31" s="73">
        <f>(K31+M31)</f>
        <v>89.6869999999999</v>
      </c>
      <c r="P31" s="48"/>
    </row>
    <row r="32" spans="3:16" ht="16.5" customHeight="1">
      <c r="C32" s="5" t="s">
        <v>948</v>
      </c>
      <c r="G32" s="25" t="s">
        <v>350</v>
      </c>
      <c r="H32" s="11" t="s">
        <v>939</v>
      </c>
      <c r="I32" s="2"/>
      <c r="J32" s="25" t="s">
        <v>939</v>
      </c>
      <c r="K32" s="56">
        <v>300.2574</v>
      </c>
      <c r="L32" s="57"/>
      <c r="M32" s="124">
        <v>-300.1212</v>
      </c>
      <c r="N32" s="125"/>
      <c r="O32" s="278" t="s">
        <v>431</v>
      </c>
      <c r="P32" s="57"/>
    </row>
    <row r="33" spans="2:16" ht="21" customHeight="1">
      <c r="B33" s="167" t="s">
        <v>950</v>
      </c>
      <c r="C33" s="5"/>
      <c r="F33" s="51"/>
      <c r="G33" s="25"/>
      <c r="H33" s="11"/>
      <c r="I33" s="2"/>
      <c r="J33" s="25"/>
      <c r="K33" s="31"/>
      <c r="L33" s="48"/>
      <c r="M33" s="31"/>
      <c r="N33" s="48"/>
      <c r="O33" s="73"/>
      <c r="P33" s="48"/>
    </row>
    <row r="34" spans="2:16" ht="20.25" customHeight="1" thickBot="1">
      <c r="B34" s="167" t="s">
        <v>951</v>
      </c>
      <c r="G34" s="25" t="s">
        <v>939</v>
      </c>
      <c r="H34" s="11" t="s">
        <v>939</v>
      </c>
      <c r="I34" s="2"/>
      <c r="J34" s="25" t="s">
        <v>939</v>
      </c>
      <c r="K34" s="172">
        <f>SUM(K25:K32)</f>
        <v>849379.1254</v>
      </c>
      <c r="L34" s="173"/>
      <c r="M34" s="172">
        <f>SUM(M25:M32)</f>
        <v>-636328.1132</v>
      </c>
      <c r="N34" s="174"/>
      <c r="O34" s="172">
        <f>SUM(O25:O32)</f>
        <v>213050.87599999993</v>
      </c>
      <c r="P34" s="173"/>
    </row>
    <row r="35" spans="2:15" ht="36.75" customHeight="1" thickTop="1">
      <c r="B35" s="5" t="s">
        <v>698</v>
      </c>
      <c r="G35" s="9"/>
      <c r="H35" s="9"/>
      <c r="J35" s="9"/>
      <c r="K35" s="9"/>
      <c r="L35" s="16"/>
      <c r="M35" s="9"/>
      <c r="O35" s="9"/>
    </row>
    <row r="36" spans="3:15" ht="18" customHeight="1">
      <c r="C36" s="5" t="s">
        <v>699</v>
      </c>
      <c r="F36" s="110" t="s">
        <v>565</v>
      </c>
      <c r="G36" s="9"/>
      <c r="H36" s="9"/>
      <c r="J36" s="9"/>
      <c r="K36" s="9"/>
      <c r="M36" s="120"/>
      <c r="O36" s="9"/>
    </row>
    <row r="37" spans="4:15" ht="16.5" customHeight="1">
      <c r="D37" s="5" t="s">
        <v>444</v>
      </c>
      <c r="F37" s="110">
        <v>20</v>
      </c>
      <c r="G37" s="25" t="s">
        <v>350</v>
      </c>
      <c r="H37" s="11" t="s">
        <v>290</v>
      </c>
      <c r="I37" s="2"/>
      <c r="J37" s="25" t="s">
        <v>291</v>
      </c>
      <c r="K37" s="31">
        <f>79895.823-2052.806</f>
        <v>77843.017</v>
      </c>
      <c r="M37" s="40">
        <f>-60029.968+1.897</f>
        <v>-60028.071</v>
      </c>
      <c r="N37" s="34"/>
      <c r="O37" s="73">
        <f>+K37+M37</f>
        <v>17814.946000000004</v>
      </c>
    </row>
    <row r="38" spans="4:15" ht="16.5" customHeight="1">
      <c r="D38" s="5" t="s">
        <v>292</v>
      </c>
      <c r="F38" s="110" t="s">
        <v>445</v>
      </c>
      <c r="G38" s="25" t="s">
        <v>350</v>
      </c>
      <c r="H38" s="11" t="s">
        <v>290</v>
      </c>
      <c r="I38" s="2"/>
      <c r="J38" s="25" t="s">
        <v>291</v>
      </c>
      <c r="K38" s="31">
        <f>257800.035+42.004+26.131</f>
        <v>257868.16999999998</v>
      </c>
      <c r="M38" s="40">
        <f>-127818.93-195.79-221.423</f>
        <v>-128236.14299999998</v>
      </c>
      <c r="N38" s="34"/>
      <c r="O38" s="73">
        <f>+K38+M38</f>
        <v>129632.027</v>
      </c>
    </row>
    <row r="39" spans="4:15" ht="16.5" customHeight="1">
      <c r="D39" s="5" t="s">
        <v>1064</v>
      </c>
      <c r="F39" s="113"/>
      <c r="G39" s="25" t="s">
        <v>350</v>
      </c>
      <c r="H39" s="11" t="s">
        <v>290</v>
      </c>
      <c r="I39" s="2"/>
      <c r="J39" s="25" t="s">
        <v>1148</v>
      </c>
      <c r="K39" s="31">
        <f>3031.786-13.178</f>
        <v>3018.608</v>
      </c>
      <c r="M39" s="40">
        <v>-2722.518</v>
      </c>
      <c r="N39" s="34"/>
      <c r="O39" s="73">
        <f>+K39+M39</f>
        <v>296.09000000000015</v>
      </c>
    </row>
    <row r="40" spans="4:15" ht="16.5" customHeight="1">
      <c r="D40" s="5" t="s">
        <v>450</v>
      </c>
      <c r="F40" s="113"/>
      <c r="G40" s="25" t="s">
        <v>350</v>
      </c>
      <c r="H40" s="11" t="s">
        <v>290</v>
      </c>
      <c r="I40" s="2"/>
      <c r="J40" s="25" t="s">
        <v>1148</v>
      </c>
      <c r="K40" s="31">
        <f>21305.412-45.447</f>
        <v>21259.965</v>
      </c>
      <c r="M40" s="40">
        <v>-7112.84</v>
      </c>
      <c r="N40" s="34"/>
      <c r="O40" s="73">
        <f>(K40+M40)</f>
        <v>14147.125</v>
      </c>
    </row>
    <row r="41" spans="4:15" ht="16.5" customHeight="1">
      <c r="D41" s="5" t="s">
        <v>727</v>
      </c>
      <c r="F41" s="110" t="s">
        <v>445</v>
      </c>
      <c r="G41" s="25" t="s">
        <v>350</v>
      </c>
      <c r="H41" s="11" t="s">
        <v>290</v>
      </c>
      <c r="I41" s="2"/>
      <c r="J41" s="25" t="s">
        <v>291</v>
      </c>
      <c r="K41" s="31">
        <f>31426.945+50.123</f>
        <v>31477.068</v>
      </c>
      <c r="M41" s="40">
        <f>-2810.343-20.909</f>
        <v>-2831.252</v>
      </c>
      <c r="N41" s="34"/>
      <c r="O41" s="73">
        <f>(K41+M41)</f>
        <v>28645.816</v>
      </c>
    </row>
    <row r="42" spans="3:16" ht="18" customHeight="1">
      <c r="C42" s="5" t="s">
        <v>398</v>
      </c>
      <c r="F42" s="113"/>
      <c r="G42" s="25" t="s">
        <v>939</v>
      </c>
      <c r="H42" s="11" t="s">
        <v>939</v>
      </c>
      <c r="I42" s="2"/>
      <c r="J42" s="25" t="s">
        <v>939</v>
      </c>
      <c r="K42" s="45">
        <f>SUM(K37:K41)</f>
        <v>391466.828</v>
      </c>
      <c r="L42" s="46"/>
      <c r="M42" s="45">
        <f>SUM(M37:M41)+0.00397</f>
        <v>-200930.82003</v>
      </c>
      <c r="N42" s="46"/>
      <c r="O42" s="45">
        <f>+K42+M42+0.0021322</f>
        <v>190536.01010219997</v>
      </c>
      <c r="P42" s="46"/>
    </row>
    <row r="43" spans="3:15" ht="16.5" customHeight="1">
      <c r="C43" s="5" t="s">
        <v>399</v>
      </c>
      <c r="F43" s="113"/>
      <c r="G43" s="9"/>
      <c r="H43" s="9"/>
      <c r="J43" s="9"/>
      <c r="K43" s="9"/>
      <c r="M43" s="31"/>
      <c r="O43" s="9"/>
    </row>
    <row r="44" spans="3:15" ht="16.5" customHeight="1">
      <c r="C44" s="5" t="s">
        <v>400</v>
      </c>
      <c r="F44" s="112" t="s">
        <v>566</v>
      </c>
      <c r="G44" s="25" t="s">
        <v>350</v>
      </c>
      <c r="H44" s="11" t="s">
        <v>290</v>
      </c>
      <c r="I44" s="2"/>
      <c r="J44" s="25" t="s">
        <v>291</v>
      </c>
      <c r="K44" s="31">
        <v>83.588852</v>
      </c>
      <c r="M44" s="31">
        <v>-71.164126</v>
      </c>
      <c r="O44" s="73">
        <f>(K44+M44)</f>
        <v>12.424726000000007</v>
      </c>
    </row>
    <row r="45" spans="3:16" ht="16.5" customHeight="1">
      <c r="C45" s="5" t="s">
        <v>401</v>
      </c>
      <c r="F45" s="113"/>
      <c r="G45" s="9"/>
      <c r="H45" s="9"/>
      <c r="J45" s="9"/>
      <c r="K45" s="9"/>
      <c r="M45" s="31"/>
      <c r="O45" s="9"/>
      <c r="P45" s="16"/>
    </row>
    <row r="46" spans="3:16" ht="16.5" customHeight="1">
      <c r="C46" s="5" t="s">
        <v>402</v>
      </c>
      <c r="F46" s="110">
        <v>14</v>
      </c>
      <c r="G46" s="25" t="s">
        <v>350</v>
      </c>
      <c r="H46" s="11" t="s">
        <v>290</v>
      </c>
      <c r="I46" s="2"/>
      <c r="J46" s="25" t="s">
        <v>291</v>
      </c>
      <c r="K46" s="31">
        <v>383.956</v>
      </c>
      <c r="L46" s="16"/>
      <c r="M46" s="31">
        <v>-336.778</v>
      </c>
      <c r="N46" s="16"/>
      <c r="O46" s="73">
        <f>(K46+M46)</f>
        <v>47.178</v>
      </c>
      <c r="P46" s="16"/>
    </row>
    <row r="47" spans="2:16" ht="20.25" customHeight="1">
      <c r="B47" s="5" t="s">
        <v>1150</v>
      </c>
      <c r="G47" s="25"/>
      <c r="H47" s="11" t="s">
        <v>939</v>
      </c>
      <c r="I47" s="2"/>
      <c r="J47" s="25" t="s">
        <v>939</v>
      </c>
      <c r="K47" s="45">
        <f>K42+K44+K46</f>
        <v>391934.372852</v>
      </c>
      <c r="L47" s="46"/>
      <c r="M47" s="45">
        <f>M42+M44+M46</f>
        <v>-201338.76215599998</v>
      </c>
      <c r="N47" s="46"/>
      <c r="O47" s="45">
        <f>O42+O44+O46</f>
        <v>190595.61282819998</v>
      </c>
      <c r="P47" s="46"/>
    </row>
    <row r="48" spans="2:16" ht="15.75" customHeight="1">
      <c r="B48" s="5" t="s">
        <v>1053</v>
      </c>
      <c r="G48" s="25"/>
      <c r="H48" s="11" t="s">
        <v>939</v>
      </c>
      <c r="I48" s="2"/>
      <c r="J48" s="25" t="s">
        <v>939</v>
      </c>
      <c r="K48" s="31">
        <v>13548.238</v>
      </c>
      <c r="L48" s="16"/>
      <c r="M48" s="31">
        <v>0</v>
      </c>
      <c r="N48" s="21"/>
      <c r="O48" s="73">
        <f>+K48</f>
        <v>13548.238</v>
      </c>
      <c r="P48" s="48"/>
    </row>
    <row r="49" spans="2:16" ht="15.75" customHeight="1" thickBot="1">
      <c r="B49" s="167" t="s">
        <v>288</v>
      </c>
      <c r="G49" s="25"/>
      <c r="H49" s="11" t="s">
        <v>939</v>
      </c>
      <c r="I49" s="2"/>
      <c r="J49" s="25" t="s">
        <v>939</v>
      </c>
      <c r="K49" s="162">
        <f>+K47+K48</f>
        <v>405482.610852</v>
      </c>
      <c r="L49" s="168"/>
      <c r="M49" s="162">
        <f>+M47+M48</f>
        <v>-201338.76215599998</v>
      </c>
      <c r="N49" s="168"/>
      <c r="O49" s="162">
        <f>+O47+O48</f>
        <v>204143.8508282</v>
      </c>
      <c r="P49" s="43"/>
    </row>
    <row r="50" ht="15.75" thickTop="1"/>
  </sheetData>
  <mergeCells count="2">
    <mergeCell ref="H3:I3"/>
    <mergeCell ref="H2:I2"/>
  </mergeCells>
  <printOptions horizontalCentered="1"/>
  <pageMargins left="0" right="0" top="0.5" bottom="0.1" header="0" footer="0"/>
  <pageSetup horizontalDpi="300" verticalDpi="300" orientation="portrait" scale="55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235"/>
  <sheetViews>
    <sheetView showGridLines="0" view="pageBreakPreview" zoomScale="75" zoomScaleNormal="60" zoomScaleSheetLayoutView="75" workbookViewId="0" topLeftCell="A1">
      <selection activeCell="C2" sqref="C2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6.99609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88671875" style="0" customWidth="1"/>
    <col min="13" max="13" width="6.77734375" style="0" customWidth="1"/>
    <col min="14" max="14" width="9.3359375" style="0" bestFit="1" customWidth="1"/>
    <col min="16" max="16" width="12.5546875" style="0" bestFit="1" customWidth="1"/>
  </cols>
  <sheetData>
    <row r="1" spans="1:13" s="319" customFormat="1" ht="27.75" customHeight="1" thickBot="1">
      <c r="A1" s="323"/>
      <c r="B1" s="321" t="e">
        <f>(Marketable!#REF!)</f>
        <v>#REF!</v>
      </c>
      <c r="C1" s="322"/>
      <c r="D1" s="321"/>
      <c r="E1" s="322"/>
      <c r="F1" s="322"/>
      <c r="G1" s="322"/>
      <c r="H1" s="322"/>
      <c r="I1" s="322"/>
      <c r="J1" s="322"/>
      <c r="K1" s="322"/>
      <c r="L1" s="322"/>
      <c r="M1" s="325">
        <v>7</v>
      </c>
    </row>
    <row r="2" spans="8:13" ht="30.75" customHeight="1" thickTop="1">
      <c r="H2" s="11" t="s">
        <v>296</v>
      </c>
      <c r="I2" s="2"/>
      <c r="J2" s="2"/>
      <c r="K2" s="2"/>
      <c r="L2" s="2"/>
      <c r="M2" s="2"/>
    </row>
    <row r="3" spans="1:13" ht="15.75" customHeight="1">
      <c r="A3" s="2" t="s">
        <v>297</v>
      </c>
      <c r="B3" s="2"/>
      <c r="C3" s="2"/>
      <c r="D3" s="2"/>
      <c r="E3" s="2"/>
      <c r="F3" s="2"/>
      <c r="G3" s="2"/>
      <c r="H3" s="11" t="s">
        <v>259</v>
      </c>
      <c r="I3" s="2"/>
      <c r="J3" s="2"/>
      <c r="K3" s="2"/>
      <c r="L3" s="2"/>
      <c r="M3" s="2"/>
    </row>
    <row r="4" spans="1:13" ht="16.5" customHeight="1">
      <c r="A4" s="10"/>
      <c r="B4" s="10"/>
      <c r="C4" s="10"/>
      <c r="D4" s="10"/>
      <c r="E4" s="10"/>
      <c r="F4" s="10"/>
      <c r="G4" s="10"/>
      <c r="H4" s="28" t="s">
        <v>301</v>
      </c>
      <c r="I4" s="29"/>
      <c r="J4" s="28" t="s">
        <v>280</v>
      </c>
      <c r="K4" s="29"/>
      <c r="L4" s="28" t="s">
        <v>262</v>
      </c>
      <c r="M4" s="29"/>
    </row>
    <row r="5" spans="1:12" ht="33.75" customHeight="1">
      <c r="A5" s="34"/>
      <c r="B5" s="4" t="s">
        <v>403</v>
      </c>
      <c r="H5" s="9"/>
      <c r="J5" s="9"/>
      <c r="L5" s="9"/>
    </row>
    <row r="6" spans="2:15" ht="21" customHeight="1">
      <c r="B6" s="118" t="s">
        <v>71</v>
      </c>
      <c r="C6" s="62"/>
      <c r="D6" s="62"/>
      <c r="H6" s="31"/>
      <c r="I6" s="16"/>
      <c r="J6" s="31"/>
      <c r="K6" s="16"/>
      <c r="L6" s="31"/>
      <c r="M6" s="16"/>
      <c r="O6" s="212"/>
    </row>
    <row r="7" spans="1:15" ht="15.75" customHeight="1">
      <c r="A7" t="s">
        <v>259</v>
      </c>
      <c r="C7" s="5" t="s">
        <v>451</v>
      </c>
      <c r="H7" s="277">
        <f>IF(VLOOKUP(GAS!N7,'GAS ASCII'!$B$2:$C$210,2)&gt;=500000,VLOOKUP(GAS!N7,'GAS ASCII'!$B$2:$C$210,2)/1000000,IF(VLOOKUP(GAS!N7,'GAS ASCII'!$B$2:$C$210,2)&lt;=0,"……………….","*"))</f>
        <v>392.83381660000003</v>
      </c>
      <c r="I7" s="16" t="s">
        <v>259</v>
      </c>
      <c r="J7" s="277">
        <f>IF(VLOOKUP(GAS!N7,'GAS ASCII'!$B$2:$D$210,3)&gt;=500000,VLOOKUP(GAS!N7,'GAS ASCII'!$B$2:$D$210,3)/-1000000,IF(VLOOKUP(GAS!N7,'GAS ASCII'!$B$2:$D$210,3)&lt;=0,0,"*"))</f>
        <v>-1.386</v>
      </c>
      <c r="K7" s="16"/>
      <c r="L7" s="277">
        <f>IF(VLOOKUP(GAS!N7,'GAS ASCII'!$B$2:$E$210,4)&gt;=500000,VLOOKUP(GAS!N7,'GAS ASCII'!$B$2:$E$210,4)/1000000,IF(VLOOKUP(GAS!N7,'GAS ASCII'!$B$2:$E$210,4)&lt;=0,"……………….","*"))</f>
        <v>391.4478166</v>
      </c>
      <c r="M7" s="16"/>
      <c r="N7" t="s">
        <v>412</v>
      </c>
      <c r="O7" s="212"/>
    </row>
    <row r="8" spans="3:15" ht="30.75" customHeight="1">
      <c r="C8" s="5" t="s">
        <v>1152</v>
      </c>
      <c r="H8" s="277"/>
      <c r="I8" s="16"/>
      <c r="J8" s="277"/>
      <c r="K8" s="16"/>
      <c r="L8" s="277"/>
      <c r="M8" s="16"/>
      <c r="O8" s="212"/>
    </row>
    <row r="9" spans="3:15" ht="15.75" customHeight="1">
      <c r="C9" s="5" t="s">
        <v>321</v>
      </c>
      <c r="H9" s="277" t="str">
        <f>IF(VLOOKUP(GAS!N9,'GAS ASCII'!$B$2:$C$210,2)&gt;=500000,VLOOKUP(GAS!N9,'GAS ASCII'!$B$2:$C$210,2)/1000000,IF(VLOOKUP(GAS!N9,'GAS ASCII'!$B$2:$C$210,2)&lt;=0,"……………….","*"))</f>
        <v>*</v>
      </c>
      <c r="I9" s="16"/>
      <c r="J9" s="277">
        <f>IF(VLOOKUP(GAS!N9,'GAS ASCII'!$B$2:$D$210,3)&gt;=500000,VLOOKUP(GAS!N9,'GAS ASCII'!$B$2:$D$210,3)/-1000000,IF(VLOOKUP(GAS!N9,'GAS ASCII'!$B$2:$D$210,3)&lt;=0,0,"*"))</f>
        <v>0</v>
      </c>
      <c r="K9" s="21"/>
      <c r="L9" s="277" t="str">
        <f>IF(VLOOKUP(GAS!N9,'GAS ASCII'!$B$2:$E$210,4)&gt;=500000,VLOOKUP(GAS!N9,'GAS ASCII'!$B$2:$E$210,4)/1000000,IF(VLOOKUP(GAS!N9,'GAS ASCII'!$B$2:$E$210,4)&lt;=0,"……………….","*"))</f>
        <v>*</v>
      </c>
      <c r="M9" s="16"/>
      <c r="N9" t="s">
        <v>414</v>
      </c>
      <c r="O9" s="212"/>
    </row>
    <row r="10" spans="1:15" ht="15.75" customHeight="1">
      <c r="A10" t="s">
        <v>259</v>
      </c>
      <c r="C10" s="5" t="s">
        <v>597</v>
      </c>
      <c r="H10" s="277">
        <f>IF(VLOOKUP(GAS!N10,'GAS ASCII'!$B$2:$C$210,2)&gt;=500000,VLOOKUP(GAS!N10,'GAS ASCII'!$B$2:$C$210,2)/1000000,IF(VLOOKUP(GAS!N10,'GAS ASCII'!$B$2:$C$210,2)&lt;=0,"……………….","*"))</f>
        <v>1756.2669141</v>
      </c>
      <c r="I10" s="16" t="s">
        <v>259</v>
      </c>
      <c r="J10" s="277">
        <f>IF(VLOOKUP(GAS!N10,'GAS ASCII'!$B$2:$D$210,3)&gt;=500000,VLOOKUP(GAS!N10,'GAS ASCII'!$B$2:$D$210,3)/-1000000,IF(VLOOKUP(GAS!N10,'GAS ASCII'!$B$2:$D$210,3)&lt;=0,0,"*"))</f>
        <v>0</v>
      </c>
      <c r="K10" s="16"/>
      <c r="L10" s="277">
        <f>IF(VLOOKUP(GAS!N10,'GAS ASCII'!$B$2:$E$210,4)&gt;=500000,VLOOKUP(GAS!N10,'GAS ASCII'!$B$2:$E$210,4)/1000000,IF(VLOOKUP(GAS!N10,'GAS ASCII'!$B$2:$E$210,4)&lt;=0,"……………….","*"))</f>
        <v>1756.2669141</v>
      </c>
      <c r="M10" s="16"/>
      <c r="N10" t="s">
        <v>590</v>
      </c>
      <c r="O10" s="212"/>
    </row>
    <row r="11" spans="3:15" ht="30.75" customHeight="1">
      <c r="C11" s="5" t="s">
        <v>1054</v>
      </c>
      <c r="H11" s="277">
        <f>IF(VLOOKUP(GAS!N11,'GAS ASCII'!$B$2:$C$210,2)&gt;=500000,VLOOKUP(GAS!N11,'GAS ASCII'!$B$2:$C$210,2)/1000000,IF(VLOOKUP(GAS!N11,'GAS ASCII'!$B$2:$C$210,2)&lt;=0,"……………….","*"))</f>
        <v>1.649</v>
      </c>
      <c r="I11" s="16"/>
      <c r="J11" s="277">
        <f>IF(VLOOKUP(GAS!N11,'GAS ASCII'!$B$2:$D$210,3)&gt;=500000,VLOOKUP(GAS!N11,'GAS ASCII'!$B$2:$D$210,3)/-1000000,IF(VLOOKUP(GAS!N11,'GAS ASCII'!$B$2:$D$210,3)&lt;=0,0,"*"))</f>
        <v>0</v>
      </c>
      <c r="K11" s="16"/>
      <c r="L11" s="277">
        <f>IF(VLOOKUP(GAS!N11,'GAS ASCII'!$B$2:$E$210,4)&gt;=500000,VLOOKUP(GAS!N11,'GAS ASCII'!$B$2:$E$210,4)/1000000,IF(VLOOKUP(GAS!N11,'GAS ASCII'!$B$2:$E$210,4)&lt;=0,"……………….","*"))</f>
        <v>1.649</v>
      </c>
      <c r="M11" s="16"/>
      <c r="N11" t="s">
        <v>416</v>
      </c>
      <c r="O11" s="212"/>
    </row>
    <row r="12" spans="3:15" ht="30.75" customHeight="1">
      <c r="C12" s="5" t="s">
        <v>196</v>
      </c>
      <c r="H12" s="277">
        <f>IF(VLOOKUP(GAS!N12,'GAS ASCII'!$B$2:$C$210,2)&gt;=500000,VLOOKUP(GAS!N12,'GAS ASCII'!$B$2:$C$210,2)/1000000,IF(VLOOKUP(GAS!N12,'GAS ASCII'!$B$2:$C$210,2)&lt;=0,"……………….","*"))</f>
        <v>5.175</v>
      </c>
      <c r="I12" s="16"/>
      <c r="J12" s="277">
        <f>IF(VLOOKUP(GAS!N12,'GAS ASCII'!$B$2:$D$210,3)&gt;=500000,VLOOKUP(GAS!N12,'GAS ASCII'!$B$2:$D$210,3)/-1000000,IF(VLOOKUP(GAS!N12,'GAS ASCII'!$B$2:$D$210,3)&lt;=0,0,"*"))</f>
        <v>-4.448</v>
      </c>
      <c r="K12" s="16"/>
      <c r="L12" s="277">
        <f>IF(VLOOKUP(GAS!N12,'GAS ASCII'!$B$2:$E$210,4)&gt;=500000,VLOOKUP(GAS!N12,'GAS ASCII'!$B$2:$E$210,4)/1000000,IF(VLOOKUP(GAS!N12,'GAS ASCII'!$B$2:$E$210,4)&lt;=0,"……………….","*"))</f>
        <v>0.727</v>
      </c>
      <c r="M12" s="16"/>
      <c r="N12" t="s">
        <v>46</v>
      </c>
      <c r="O12" s="212"/>
    </row>
    <row r="13" spans="3:15" ht="30.75" customHeight="1">
      <c r="C13" s="5" t="s">
        <v>455</v>
      </c>
      <c r="H13" s="277" t="str">
        <f>IF(VLOOKUP(GAS!N13,'GAS ASCII'!$B$2:$C$210,2)&gt;=500000,VLOOKUP(GAS!N13,'GAS ASCII'!$B$2:$C$210,2)/1000000,IF(VLOOKUP(GAS!N13,'GAS ASCII'!$B$2:$C$210,2)&lt;=0,"……………….","*"))</f>
        <v>*</v>
      </c>
      <c r="I13" s="16"/>
      <c r="J13" s="277">
        <f>IF(VLOOKUP(GAS!N13,'GAS ASCII'!$B$2:$D$210,3)&gt;=500000,VLOOKUP(GAS!N13,'GAS ASCII'!$B$2:$D$210,3)/-1000000,IF(VLOOKUP(GAS!N13,'GAS ASCII'!$B$2:$D$210,3)&lt;=0,0,"*"))</f>
        <v>0</v>
      </c>
      <c r="K13" s="16"/>
      <c r="L13" s="277" t="str">
        <f>IF(VLOOKUP(GAS!N13,'GAS ASCII'!$B$2:$E$210,4)&gt;=500000,VLOOKUP(GAS!N13,'GAS ASCII'!$B$2:$E$210,4)/1000000,IF(VLOOKUP(GAS!N13,'GAS ASCII'!$B$2:$E$210,4)&lt;=0,"……………….","*"))</f>
        <v>*</v>
      </c>
      <c r="M13" s="16"/>
      <c r="N13" t="s">
        <v>48</v>
      </c>
      <c r="O13" s="212"/>
    </row>
    <row r="14" spans="3:15" ht="30.75" customHeight="1">
      <c r="C14" s="5" t="s">
        <v>275</v>
      </c>
      <c r="H14" s="277">
        <f>IF(VLOOKUP(GAS!N14,'GAS ASCII'!$B$2:$C$210,2)&gt;=500000,VLOOKUP(GAS!N14,'GAS ASCII'!$B$2:$C$210,2)/1000000,IF(VLOOKUP(GAS!N14,'GAS ASCII'!$B$2:$C$210,2)&lt;=0,"……………….","*"))</f>
        <v>28.40772051</v>
      </c>
      <c r="I14" s="16"/>
      <c r="J14" s="277">
        <f>IF(VLOOKUP(GAS!N14,'GAS ASCII'!$B$2:$D$210,3)&gt;=500000,VLOOKUP(GAS!N14,'GAS ASCII'!$B$2:$D$210,3)/-1000000,IF(VLOOKUP(GAS!N14,'GAS ASCII'!$B$2:$D$210,3)&lt;=0,0,"*"))</f>
        <v>0</v>
      </c>
      <c r="K14" s="16"/>
      <c r="L14" s="277">
        <f>IF(VLOOKUP(GAS!N14,'GAS ASCII'!$B$2:$E$210,4)&gt;=500000,VLOOKUP(GAS!N14,'GAS ASCII'!$B$2:$E$210,4)/1000000,IF(VLOOKUP(GAS!N14,'GAS ASCII'!$B$2:$E$210,4)&lt;=0,"……………….","*"))</f>
        <v>28.40772051</v>
      </c>
      <c r="M14" s="16"/>
      <c r="N14" t="s">
        <v>608</v>
      </c>
      <c r="O14" s="212"/>
    </row>
    <row r="15" spans="3:15" ht="15">
      <c r="C15" s="5" t="s">
        <v>108</v>
      </c>
      <c r="H15" s="277">
        <f>IF(VLOOKUP(GAS!N15,'GAS ASCII'!$B$2:$C$210,2)&gt;=500000,VLOOKUP(GAS!N15,'GAS ASCII'!$B$2:$C$210,2)/1000000,IF(VLOOKUP(GAS!N15,'GAS ASCII'!$B$2:$C$210,2)&lt;=0,"……………….","*"))</f>
        <v>0.653</v>
      </c>
      <c r="I15" s="16"/>
      <c r="J15" s="277">
        <f>IF(VLOOKUP(GAS!N15,'GAS ASCII'!$B$2:$D$210,3)&gt;=500000,VLOOKUP(GAS!N15,'GAS ASCII'!$B$2:$D$210,3)/-1000000,IF(VLOOKUP(GAS!N15,'GAS ASCII'!$B$2:$D$210,3)&lt;=0,0,"*"))</f>
        <v>0</v>
      </c>
      <c r="K15" s="16"/>
      <c r="L15" s="277">
        <f>IF(VLOOKUP(GAS!N15,'GAS ASCII'!$B$2:$E$210,4)&gt;=500000,VLOOKUP(GAS!N15,'GAS ASCII'!$B$2:$E$210,4)/1000000,IF(VLOOKUP(GAS!N15,'GAS ASCII'!$B$2:$E$210,4)&lt;=0,"……………….","*"))</f>
        <v>0.653</v>
      </c>
      <c r="M15" s="16"/>
      <c r="N15" t="s">
        <v>100</v>
      </c>
      <c r="O15" s="212"/>
    </row>
    <row r="16" spans="3:15" ht="30.75" customHeight="1">
      <c r="C16" s="5" t="s">
        <v>578</v>
      </c>
      <c r="H16" s="277">
        <f>IF(VLOOKUP(GAS!N16,'GAS ASCII'!$B$2:$C$210,2)&gt;=500000,VLOOKUP(GAS!N16,'GAS ASCII'!$B$2:$C$210,2)/1000000,IF(VLOOKUP(GAS!N16,'GAS ASCII'!$B$2:$C$210,2)&lt;=0,"……………….","*"))</f>
        <v>36.66</v>
      </c>
      <c r="I16" s="16"/>
      <c r="J16" s="277">
        <f>IF(VLOOKUP(GAS!N16,'GAS ASCII'!$B$2:$D$210,3)&gt;=500000,VLOOKUP(GAS!N16,'GAS ASCII'!$B$2:$D$210,3)/-1000000,IF(VLOOKUP(GAS!N16,'GAS ASCII'!$B$2:$D$210,3)&lt;=0,0,"*"))</f>
        <v>0</v>
      </c>
      <c r="K16" s="16"/>
      <c r="L16" s="277">
        <f>IF(VLOOKUP(GAS!N16,'GAS ASCII'!$B$2:$E$210,4)&gt;=500000,VLOOKUP(GAS!N16,'GAS ASCII'!$B$2:$E$210,4)/1000000,IF(VLOOKUP(GAS!N16,'GAS ASCII'!$B$2:$E$210,4)&lt;=0,"……………….","*"))</f>
        <v>36.66</v>
      </c>
      <c r="M16" s="16"/>
      <c r="N16" t="s">
        <v>610</v>
      </c>
      <c r="O16" s="212"/>
    </row>
    <row r="17" spans="3:15" ht="30.75" customHeight="1">
      <c r="C17" s="5" t="s">
        <v>1153</v>
      </c>
      <c r="H17" s="277">
        <f>IF(VLOOKUP(GAS!N17,'GAS ASCII'!$B$2:$C$210,2)&gt;=500000,VLOOKUP(GAS!N17,'GAS ASCII'!$B$2:$C$210,2)/1000000,IF(VLOOKUP(GAS!N17,'GAS ASCII'!$B$2:$C$210,2)&lt;=0,"……………….","*"))</f>
        <v>28.657</v>
      </c>
      <c r="I17" s="16"/>
      <c r="J17" s="277">
        <f>IF(VLOOKUP(GAS!N17,'GAS ASCII'!$B$2:$D$210,3)&gt;=500000,VLOOKUP(GAS!N17,'GAS ASCII'!$B$2:$D$210,3)/-1000000,IF(VLOOKUP(GAS!N17,'GAS ASCII'!$B$2:$D$210,3)&lt;=0,0,"*"))</f>
        <v>-1.302</v>
      </c>
      <c r="K17" s="16"/>
      <c r="L17" s="277">
        <f>IF(VLOOKUP(GAS!N17,'GAS ASCII'!$B$2:$E$210,4)&gt;=500000,VLOOKUP(GAS!N17,'GAS ASCII'!$B$2:$E$210,4)/1000000,IF(VLOOKUP(GAS!N17,'GAS ASCII'!$B$2:$E$210,4)&lt;=0,"……………….","*"))</f>
        <v>27.355</v>
      </c>
      <c r="M17" s="16"/>
      <c r="N17" t="s">
        <v>117</v>
      </c>
      <c r="O17" s="212"/>
    </row>
    <row r="18" spans="3:15" ht="30.75" customHeight="1">
      <c r="C18" s="5" t="s">
        <v>257</v>
      </c>
      <c r="H18" s="277"/>
      <c r="I18" s="16"/>
      <c r="J18" s="277"/>
      <c r="K18" s="16"/>
      <c r="L18" s="277"/>
      <c r="M18" s="16"/>
      <c r="O18" s="212"/>
    </row>
    <row r="19" spans="3:15" ht="18" customHeight="1">
      <c r="C19" s="5" t="s">
        <v>146</v>
      </c>
      <c r="H19" s="277">
        <f>IF(VLOOKUP(GAS!N19,'GAS ASCII'!$B$2:$C$210,2)&gt;=500000,VLOOKUP(GAS!N19,'GAS ASCII'!$B$2:$C$210,2)/1000000,IF(VLOOKUP(GAS!N19,'GAS ASCII'!$B$2:$C$210,2)&lt;=0,"……………….","*"))</f>
        <v>271.441</v>
      </c>
      <c r="I19" s="16"/>
      <c r="J19" s="277">
        <f>IF(VLOOKUP(GAS!N19,'GAS ASCII'!$B$2:$D$210,3)&gt;=500000,VLOOKUP(GAS!N19,'GAS ASCII'!$B$2:$D$210,3)/-1000000,IF(VLOOKUP(GAS!N19,'GAS ASCII'!$B$2:$D$210,3)&lt;=0,0,"*"))</f>
        <v>0</v>
      </c>
      <c r="K19" s="21"/>
      <c r="L19" s="277">
        <f>IF(VLOOKUP(GAS!N19,'GAS ASCII'!$B$2:$E$210,4)&gt;=500000,VLOOKUP(GAS!N19,'GAS ASCII'!$B$2:$E$210,4)/1000000,IF(VLOOKUP(GAS!N19,'GAS ASCII'!$B$2:$E$210,4)&lt;=0,"……………….","*"))</f>
        <v>271.441</v>
      </c>
      <c r="M19" s="16"/>
      <c r="N19" t="s">
        <v>243</v>
      </c>
      <c r="O19" s="212"/>
    </row>
    <row r="20" spans="3:15" ht="30.75" customHeight="1">
      <c r="C20" s="5" t="s">
        <v>133</v>
      </c>
      <c r="H20" s="277">
        <f>IF(VLOOKUP(GAS!N20,'GAS ASCII'!$B$2:$C$210,2)&gt;=500000,VLOOKUP(GAS!N20,'GAS ASCII'!$B$2:$C$210,2)/1000000,IF(VLOOKUP(GAS!N20,'GAS ASCII'!$B$2:$C$210,2)&lt;=0,"……………….","*"))</f>
        <v>706.55</v>
      </c>
      <c r="I20" s="16"/>
      <c r="J20" s="277">
        <f>IF(VLOOKUP(GAS!N20,'GAS ASCII'!$B$2:$D$210,3)&gt;=500000,VLOOKUP(GAS!N20,'GAS ASCII'!$B$2:$D$210,3)/-1000000,IF(VLOOKUP(GAS!N20,'GAS ASCII'!$B$2:$D$210,3)&lt;=0,0,"*"))</f>
        <v>0</v>
      </c>
      <c r="K20" s="16"/>
      <c r="L20" s="277">
        <f>IF(VLOOKUP(GAS!N20,'GAS ASCII'!$B$2:$E$210,4)&gt;=500000,VLOOKUP(GAS!N20,'GAS ASCII'!$B$2:$E$210,4)/1000000,IF(VLOOKUP(GAS!N20,'GAS ASCII'!$B$2:$E$210,4)&lt;=0,"……………….","*"))</f>
        <v>706.55</v>
      </c>
      <c r="M20" s="16"/>
      <c r="N20" t="s">
        <v>205</v>
      </c>
      <c r="O20" s="212"/>
    </row>
    <row r="21" spans="3:15" ht="15.75" customHeight="1">
      <c r="C21" s="5" t="s">
        <v>147</v>
      </c>
      <c r="H21" s="277">
        <f>IF(VLOOKUP(GAS!N21,'GAS ASCII'!$B$2:$C$210,2)&gt;=500000,VLOOKUP(GAS!N21,'GAS ASCII'!$B$2:$C$210,2)/1000000,IF(VLOOKUP(GAS!N21,'GAS ASCII'!$B$2:$C$210,2)&lt;=0,"……………….","*"))</f>
        <v>1</v>
      </c>
      <c r="I21" s="16"/>
      <c r="J21" s="277">
        <f>IF(VLOOKUP(GAS!N21,'GAS ASCII'!$B$2:$D$210,3)&gt;=500000,VLOOKUP(GAS!N21,'GAS ASCII'!$B$2:$D$210,3)/-1000000,IF(VLOOKUP(GAS!N21,'GAS ASCII'!$B$2:$D$210,3)&lt;=0,0,"*"))</f>
        <v>0</v>
      </c>
      <c r="K21" s="21"/>
      <c r="L21" s="277">
        <f>IF(VLOOKUP(GAS!N21,'GAS ASCII'!$B$2:$E$210,4)&gt;=500000,VLOOKUP(GAS!N21,'GAS ASCII'!$B$2:$E$210,4)/1000000,IF(VLOOKUP(GAS!N21,'GAS ASCII'!$B$2:$E$210,4)&lt;=0,"……………….","*"))</f>
        <v>1</v>
      </c>
      <c r="M21" s="16"/>
      <c r="N21" t="s">
        <v>387</v>
      </c>
      <c r="O21" s="212"/>
    </row>
    <row r="22" spans="3:15" ht="15.75" customHeight="1">
      <c r="C22" s="5" t="s">
        <v>456</v>
      </c>
      <c r="H22" s="277">
        <f>IF(VLOOKUP(GAS!N22,'GAS ASCII'!$B$2:$C$210,2)&gt;=500000,VLOOKUP(GAS!N22,'GAS ASCII'!$B$2:$C$210,2)/1000000,IF(VLOOKUP(GAS!N22,'GAS ASCII'!$B$2:$C$210,2)&lt;=0,"……………….","*"))</f>
        <v>685.71</v>
      </c>
      <c r="I22" s="16"/>
      <c r="J22" s="277">
        <f>IF(VLOOKUP(GAS!N22,'GAS ASCII'!$B$2:$D$210,3)&gt;=500000,VLOOKUP(GAS!N22,'GAS ASCII'!$B$2:$D$210,3)/-1000000,IF(VLOOKUP(GAS!N22,'GAS ASCII'!$B$2:$D$210,3)&lt;=0,0,"*"))</f>
        <v>0</v>
      </c>
      <c r="K22" s="21"/>
      <c r="L22" s="277">
        <f>IF(VLOOKUP(GAS!N22,'GAS ASCII'!$B$2:$E$210,4)&gt;=500000,VLOOKUP(GAS!N22,'GAS ASCII'!$B$2:$E$210,4)/1000000,IF(VLOOKUP(GAS!N22,'GAS ASCII'!$B$2:$E$210,4)&lt;=0,"……………….","*"))</f>
        <v>685.71</v>
      </c>
      <c r="M22" s="16"/>
      <c r="N22" t="s">
        <v>389</v>
      </c>
      <c r="O22" s="212"/>
    </row>
    <row r="23" spans="3:15" ht="30.75" customHeight="1">
      <c r="C23" s="5" t="s">
        <v>16</v>
      </c>
      <c r="H23" s="277">
        <f>IF(VLOOKUP(GAS!N23,'GAS ASCII'!$B$2:$C$210,2)&gt;=500000,VLOOKUP(GAS!N23,'GAS ASCII'!$B$2:$C$210,2)/1000000,IF(VLOOKUP(GAS!N23,'GAS ASCII'!$B$2:$C$210,2)&lt;=0,"……………….","*"))</f>
        <v>61957.045</v>
      </c>
      <c r="I23" s="16"/>
      <c r="J23" s="277">
        <f>IF(VLOOKUP(GAS!N23,'GAS ASCII'!$B$2:$D$210,3)&gt;=500000,VLOOKUP(GAS!N23,'GAS ASCII'!$B$2:$D$210,3)/-1000000,IF(VLOOKUP(GAS!N23,'GAS ASCII'!$B$2:$D$210,3)&lt;=0,0,"*"))</f>
        <v>0</v>
      </c>
      <c r="K23" s="16"/>
      <c r="L23" s="277">
        <f>IF(VLOOKUP(GAS!N23,'GAS ASCII'!$B$2:$E$210,4)&gt;=500000,VLOOKUP(GAS!N23,'GAS ASCII'!$B$2:$E$210,4)/1000000,IF(VLOOKUP(GAS!N23,'GAS ASCII'!$B$2:$E$210,4)&lt;=0,"……………….","*"))</f>
        <v>61957.045</v>
      </c>
      <c r="M23" s="16"/>
      <c r="N23" t="s">
        <v>391</v>
      </c>
      <c r="O23" s="212"/>
    </row>
    <row r="24" spans="3:15" ht="15.75" customHeight="1">
      <c r="C24" s="5" t="s">
        <v>124</v>
      </c>
      <c r="H24" s="277">
        <f>IF(VLOOKUP(GAS!N24,'GAS ASCII'!$B$2:$C$210,2)&gt;=500000,VLOOKUP(GAS!N24,'GAS ASCII'!$B$2:$C$210,2)/1000000,IF(VLOOKUP(GAS!N24,'GAS ASCII'!$B$2:$C$210,2)&lt;=0,"……………….","*"))</f>
        <v>23.24433682</v>
      </c>
      <c r="I24" s="16"/>
      <c r="J24" s="277">
        <f>IF(VLOOKUP(GAS!N24,'GAS ASCII'!$B$2:$D$210,3)&gt;=500000,VLOOKUP(GAS!N24,'GAS ASCII'!$B$2:$D$210,3)/-1000000,IF(VLOOKUP(GAS!N24,'GAS ASCII'!$B$2:$D$210,3)&lt;=0,0,"*"))</f>
        <v>0</v>
      </c>
      <c r="K24" s="21"/>
      <c r="L24" s="277">
        <f>IF(VLOOKUP(GAS!N24,'GAS ASCII'!$B$2:$E$210,4)&gt;=500000,VLOOKUP(GAS!N24,'GAS ASCII'!$B$2:$E$210,4)/1000000,IF(VLOOKUP(GAS!N24,'GAS ASCII'!$B$2:$E$210,4)&lt;=0,"……………….","*"))</f>
        <v>23.24433682</v>
      </c>
      <c r="M24" s="16"/>
      <c r="N24" t="s">
        <v>393</v>
      </c>
      <c r="O24" s="212"/>
    </row>
    <row r="25" spans="3:15" ht="30.75" customHeight="1">
      <c r="C25" s="5" t="s">
        <v>354</v>
      </c>
      <c r="H25" s="277">
        <f>IF(VLOOKUP(GAS!N25,'GAS ASCII'!$B$2:$C$210,2)&gt;=500000,VLOOKUP(GAS!N25,'GAS ASCII'!$B$2:$C$210,2)/1000000,IF(VLOOKUP(GAS!N25,'GAS ASCII'!$B$2:$C$210,2)&lt;=0,"……………….","*"))</f>
        <v>4.031</v>
      </c>
      <c r="I25" s="16"/>
      <c r="J25" s="277">
        <f>IF(VLOOKUP(GAS!N25,'GAS ASCII'!$B$2:$D$210,3)&gt;=500000,VLOOKUP(GAS!N25,'GAS ASCII'!$B$2:$D$210,3)/-1000000,IF(VLOOKUP(GAS!N25,'GAS ASCII'!$B$2:$D$210,3)&lt;=0,0,"*"))</f>
        <v>0</v>
      </c>
      <c r="K25" s="16"/>
      <c r="L25" s="277">
        <f>IF(VLOOKUP(GAS!N25,'GAS ASCII'!$B$2:$E$210,4)&gt;=500000,VLOOKUP(GAS!N25,'GAS ASCII'!$B$2:$E$210,4)/1000000,IF(VLOOKUP(GAS!N25,'GAS ASCII'!$B$2:$E$210,4)&lt;=0,"……………….","*"))</f>
        <v>4.031</v>
      </c>
      <c r="M25" s="16"/>
      <c r="N25" t="s">
        <v>395</v>
      </c>
      <c r="O25" s="212"/>
    </row>
    <row r="26" spans="3:15" ht="15">
      <c r="C26" s="5" t="s">
        <v>109</v>
      </c>
      <c r="H26" s="277">
        <f>IF(VLOOKUP(GAS!N26,'GAS ASCII'!$B$2:$C$210,2)&gt;=500000,VLOOKUP(GAS!N26,'GAS ASCII'!$B$2:$C$210,2)/1000000,IF(VLOOKUP(GAS!N26,'GAS ASCII'!$B$2:$C$210,2)&lt;=0,"……………….","*"))</f>
        <v>76.334</v>
      </c>
      <c r="I26" s="16"/>
      <c r="J26" s="277">
        <f>IF(VLOOKUP(GAS!N26,'GAS ASCII'!$B$2:$D$210,3)&gt;=500000,VLOOKUP(GAS!N26,'GAS ASCII'!$B$2:$D$210,3)/-1000000,IF(VLOOKUP(GAS!N26,'GAS ASCII'!$B$2:$D$210,3)&lt;=0,0,"*"))</f>
        <v>0</v>
      </c>
      <c r="K26" s="16"/>
      <c r="L26" s="277">
        <f>IF(VLOOKUP(GAS!N26,'GAS ASCII'!$B$2:$E$210,4)&gt;=500000,VLOOKUP(GAS!N26,'GAS ASCII'!$B$2:$E$210,4)/1000000,IF(VLOOKUP(GAS!N26,'GAS ASCII'!$B$2:$E$210,4)&lt;=0,"……………….","*"))</f>
        <v>76.334</v>
      </c>
      <c r="M26" s="16"/>
      <c r="N26" t="s">
        <v>102</v>
      </c>
      <c r="O26" s="212"/>
    </row>
    <row r="27" spans="3:15" ht="15.75" customHeight="1">
      <c r="C27" s="5" t="s">
        <v>36</v>
      </c>
      <c r="H27" s="277">
        <f>IF(VLOOKUP(GAS!N27,'GAS ASCII'!$B$2:$C$210,2)&gt;=500000,VLOOKUP(GAS!N27,'GAS ASCII'!$B$2:$C$210,2)/1000000,IF(VLOOKUP(GAS!N27,'GAS ASCII'!$B$2:$C$210,2)&lt;=0,"……………….","*"))</f>
        <v>381.68651549000003</v>
      </c>
      <c r="I27" s="16"/>
      <c r="J27" s="277">
        <f>IF(VLOOKUP(GAS!N27,'GAS ASCII'!$B$2:$D$210,3)&gt;=500000,VLOOKUP(GAS!N27,'GAS ASCII'!$B$2:$D$210,3)/-1000000,IF(VLOOKUP(GAS!N27,'GAS ASCII'!$B$2:$D$210,3)&lt;=0,0,"*"))</f>
        <v>0</v>
      </c>
      <c r="K27" s="16"/>
      <c r="L27" s="277">
        <f>IF(VLOOKUP(GAS!N27,'GAS ASCII'!$B$2:$E$210,4)&gt;=500000,VLOOKUP(GAS!N27,'GAS ASCII'!$B$2:$E$210,4)/1000000,IF(VLOOKUP(GAS!N27,'GAS ASCII'!$B$2:$E$210,4)&lt;=0,"……………….","*"))</f>
        <v>381.68651549000003</v>
      </c>
      <c r="M27" s="16"/>
      <c r="N27" t="s">
        <v>175</v>
      </c>
      <c r="O27" s="212"/>
    </row>
    <row r="28" spans="3:15" ht="30.75" customHeight="1">
      <c r="C28" s="5" t="s">
        <v>740</v>
      </c>
      <c r="H28" s="277">
        <f>IF(VLOOKUP(GAS!N28,'GAS ASCII'!$B$2:$C$210,2)&gt;=500000,VLOOKUP(GAS!N28,'GAS ASCII'!$B$2:$C$210,2)/1000000,IF(VLOOKUP(GAS!N28,'GAS ASCII'!$B$2:$C$210,2)&lt;=0,"……………….","*"))</f>
        <v>1.618</v>
      </c>
      <c r="I28" s="16"/>
      <c r="J28" s="277">
        <f>IF(VLOOKUP(GAS!N28,'GAS ASCII'!$B$2:$D$210,3)&gt;=500000,VLOOKUP(GAS!N28,'GAS ASCII'!$B$2:$D$210,3)/-1000000,IF(VLOOKUP(GAS!N28,'GAS ASCII'!$B$2:$D$210,3)&lt;=0,0,"*"))</f>
        <v>0</v>
      </c>
      <c r="K28" s="21"/>
      <c r="L28" s="277">
        <f>IF(VLOOKUP(GAS!N28,'GAS ASCII'!$B$2:$E$210,4)&gt;=500000,VLOOKUP(GAS!N28,'GAS ASCII'!$B$2:$E$210,4)/1000000,IF(VLOOKUP(GAS!N28,'GAS ASCII'!$B$2:$E$210,4)&lt;=0,"……………….","*"))</f>
        <v>1.618</v>
      </c>
      <c r="M28" s="16"/>
      <c r="N28" t="s">
        <v>724</v>
      </c>
      <c r="O28" s="212"/>
    </row>
    <row r="29" spans="2:15" s="62" customFormat="1" ht="15.75" customHeight="1">
      <c r="B29" s="62" t="s">
        <v>287</v>
      </c>
      <c r="C29" s="271"/>
      <c r="H29" s="261">
        <f>SUM(H7:H28)</f>
        <v>66358.96230352</v>
      </c>
      <c r="I29" s="262"/>
      <c r="J29" s="261">
        <f>SUM(J5:J28)</f>
        <v>-7.136000000000001</v>
      </c>
      <c r="K29" s="263"/>
      <c r="L29" s="261">
        <f>SUM(L5:L28)</f>
        <v>66351.82630352</v>
      </c>
      <c r="M29" s="262"/>
      <c r="O29" s="272"/>
    </row>
    <row r="30" spans="2:15" s="62" customFormat="1" ht="15.75" customHeight="1">
      <c r="B30" s="62" t="s">
        <v>84</v>
      </c>
      <c r="C30" s="271"/>
      <c r="H30" s="361">
        <v>28.06</v>
      </c>
      <c r="I30" s="296"/>
      <c r="J30" s="361">
        <v>0</v>
      </c>
      <c r="K30" s="360"/>
      <c r="L30" s="359">
        <v>28.06</v>
      </c>
      <c r="M30" s="296"/>
      <c r="O30" s="272"/>
    </row>
    <row r="31" spans="2:15" s="62" customFormat="1" ht="15.75" customHeight="1" thickBot="1">
      <c r="B31" s="62" t="s">
        <v>85</v>
      </c>
      <c r="C31" s="271"/>
      <c r="H31" s="362">
        <f>SUM(H29:H30)</f>
        <v>66387.02230352</v>
      </c>
      <c r="I31" s="363"/>
      <c r="J31" s="364">
        <f>SUM(J29:J30)</f>
        <v>-7.136000000000001</v>
      </c>
      <c r="K31" s="365"/>
      <c r="L31" s="364">
        <f>SUM(L29:L30)</f>
        <v>66379.88630352</v>
      </c>
      <c r="M31" s="363"/>
      <c r="O31" s="272"/>
    </row>
    <row r="32" spans="2:15" ht="30.75" customHeight="1" thickTop="1">
      <c r="B32" t="s">
        <v>667</v>
      </c>
      <c r="C32" s="96"/>
      <c r="H32" s="40"/>
      <c r="I32" s="16"/>
      <c r="J32" s="38"/>
      <c r="K32" s="21"/>
      <c r="L32" s="40"/>
      <c r="M32" s="16"/>
      <c r="O32" s="212"/>
    </row>
    <row r="33" spans="3:15" ht="15.75" customHeight="1">
      <c r="C33" s="5" t="s">
        <v>404</v>
      </c>
      <c r="H33" s="31"/>
      <c r="I33" s="16"/>
      <c r="J33" s="31"/>
      <c r="K33" s="16"/>
      <c r="L33" s="31"/>
      <c r="M33" s="16"/>
      <c r="O33" s="212"/>
    </row>
    <row r="34" spans="3:15" ht="15.75" customHeight="1">
      <c r="C34" s="5" t="s">
        <v>790</v>
      </c>
      <c r="H34" s="277">
        <f>IF(VLOOKUP(GAS!N34,'GAS ASCII'!$B$2:$C$210,2)&gt;=500000,VLOOKUP(GAS!N34,'GAS ASCII'!$B$2:$C$210,2)/1000000,IF(VLOOKUP(GAS!N34,'GAS ASCII'!$B$2:$C$210,2)&lt;=0,"……………….","*"))</f>
        <v>2083.73845097</v>
      </c>
      <c r="I34" s="16"/>
      <c r="J34" s="277">
        <f>IF(VLOOKUP(GAS!N34,'GAS ASCII'!$B$2:$D$210,3)&gt;=500000,VLOOKUP(GAS!N34,'GAS ASCII'!$B$2:$D$210,3)/-1000000,IF(VLOOKUP(GAS!N34,'GAS ASCII'!$B$2:$D$210,3)&lt;=0,0,"*"))</f>
        <v>0</v>
      </c>
      <c r="K34" s="21"/>
      <c r="L34" s="277">
        <f>IF(VLOOKUP(GAS!N34,'GAS ASCII'!$B$2:$E$210,4)&gt;=500000,VLOOKUP(GAS!N34,'GAS ASCII'!$B$2:$E$210,4)/1000000,IF(VLOOKUP(GAS!N34,'GAS ASCII'!$B$2:$E$210,4)&lt;=0,"……………….","*"))</f>
        <v>2083.73845097</v>
      </c>
      <c r="M34" s="32"/>
      <c r="N34" t="s">
        <v>705</v>
      </c>
      <c r="O34" s="212"/>
    </row>
    <row r="35" spans="3:15" ht="15.75" customHeight="1">
      <c r="C35" s="5" t="s">
        <v>1140</v>
      </c>
      <c r="H35" s="277">
        <f>IF(VLOOKUP(GAS!N35,'GAS ASCII'!$B$2:$C$210,2)&gt;=500000,VLOOKUP(GAS!N35,'GAS ASCII'!$B$2:$C$210,2)/1000000,IF(VLOOKUP(GAS!N35,'GAS ASCII'!$B$2:$C$210,2)&lt;=0,"……………….","*"))</f>
        <v>13371.664</v>
      </c>
      <c r="I35" s="16" t="s">
        <v>259</v>
      </c>
      <c r="J35" s="277">
        <f>IF(VLOOKUP(GAS!N35,'GAS ASCII'!$B$2:$D$210,3)&gt;=500000,VLOOKUP(GAS!N35,'GAS ASCII'!$B$2:$D$210,3)/-1000000,IF(VLOOKUP(GAS!N35,'GAS ASCII'!$B$2:$D$210,3)&lt;=0,0,"*"))</f>
        <v>-1380.839</v>
      </c>
      <c r="K35" s="131"/>
      <c r="L35" s="277">
        <f>IF(VLOOKUP(GAS!N35,'GAS ASCII'!$B$2:$E$210,4)&gt;=500000,VLOOKUP(GAS!N35,'GAS ASCII'!$B$2:$E$210,4)/1000000,IF(VLOOKUP(GAS!N35,'GAS ASCII'!$B$2:$E$210,4)&lt;=0,"……………….","*"))</f>
        <v>11990.825</v>
      </c>
      <c r="M35" s="16"/>
      <c r="N35" t="s">
        <v>707</v>
      </c>
      <c r="O35" s="212"/>
    </row>
    <row r="36" spans="3:15" ht="15.75" customHeight="1">
      <c r="C36" s="5" t="s">
        <v>1084</v>
      </c>
      <c r="H36" s="277">
        <f>IF(VLOOKUP(GAS!N36,'GAS ASCII'!$B$2:$C$210,2)&gt;=500000,VLOOKUP(GAS!N36,'GAS ASCII'!$B$2:$C$210,2)/1000000,IF(VLOOKUP(GAS!N36,'GAS ASCII'!$B$2:$C$210,2)&lt;=0,"……………….","*"))</f>
        <v>1.111</v>
      </c>
      <c r="I36" s="16"/>
      <c r="J36" s="277">
        <f>IF(VLOOKUP(GAS!N36,'GAS ASCII'!$B$2:$D$210,3)&gt;=500000,VLOOKUP(GAS!N36,'GAS ASCII'!$B$2:$D$210,3)/-1000000,IF(VLOOKUP(GAS!N36,'GAS ASCII'!$B$2:$D$210,3)&lt;=0,0,"*"))</f>
        <v>0</v>
      </c>
      <c r="K36" s="21"/>
      <c r="L36" s="277">
        <f>IF(VLOOKUP(GAS!N36,'GAS ASCII'!$B$2:$E$210,4)&gt;=500000,VLOOKUP(GAS!N36,'GAS ASCII'!$B$2:$E$210,4)/1000000,IF(VLOOKUP(GAS!N36,'GAS ASCII'!$B$2:$E$210,4)&lt;=0,"……………….","*"))</f>
        <v>1.111</v>
      </c>
      <c r="M36" s="16"/>
      <c r="N36" t="s">
        <v>709</v>
      </c>
      <c r="O36" s="212"/>
    </row>
    <row r="37" spans="3:15" ht="15.75" customHeight="1">
      <c r="C37" s="5" t="s">
        <v>1083</v>
      </c>
      <c r="H37" s="277">
        <f>IF(VLOOKUP(GAS!N37,'GAS ASCII'!$B$2:$C$210,2)&gt;=500000,VLOOKUP(GAS!N37,'GAS ASCII'!$B$2:$C$210,2)/1000000,IF(VLOOKUP(GAS!N37,'GAS ASCII'!$B$2:$C$210,2)&lt;=0,"……………….","*"))</f>
        <v>1349.017</v>
      </c>
      <c r="I37" s="16"/>
      <c r="J37" s="277">
        <f>IF(VLOOKUP(GAS!N37,'GAS ASCII'!$B$2:$D$210,3)&gt;=500000,VLOOKUP(GAS!N37,'GAS ASCII'!$B$2:$D$210,3)/-1000000,IF(VLOOKUP(GAS!N37,'GAS ASCII'!$B$2:$D$210,3)&lt;=0,0,"*"))</f>
        <v>0</v>
      </c>
      <c r="K37" s="21"/>
      <c r="L37" s="277">
        <f>IF(VLOOKUP(GAS!N37,'GAS ASCII'!$B$2:$E$210,4)&gt;=500000,VLOOKUP(GAS!N37,'GAS ASCII'!$B$2:$E$210,4)/1000000,IF(VLOOKUP(GAS!N37,'GAS ASCII'!$B$2:$E$210,4)&lt;=0,"……………….","*"))</f>
        <v>1349.017</v>
      </c>
      <c r="M37" s="16"/>
      <c r="N37" t="s">
        <v>711</v>
      </c>
      <c r="O37" s="212"/>
    </row>
    <row r="38" spans="3:15" ht="15.75" customHeight="1">
      <c r="C38" s="5" t="s">
        <v>1081</v>
      </c>
      <c r="H38" s="277">
        <f>IF(VLOOKUP(GAS!N38,'GAS ASCII'!$B$2:$C$210,2)&gt;=500000,VLOOKUP(GAS!N38,'GAS ASCII'!$B$2:$C$210,2)/1000000,IF(VLOOKUP(GAS!N38,'GAS ASCII'!$B$2:$C$210,2)&lt;=0,"……………….","*"))</f>
        <v>116.5541962</v>
      </c>
      <c r="I38" s="16"/>
      <c r="J38" s="277">
        <f>IF(VLOOKUP(GAS!N38,'GAS ASCII'!$B$2:$D$210,3)&gt;=500000,VLOOKUP(GAS!N38,'GAS ASCII'!$B$2:$D$210,3)/-1000000,IF(VLOOKUP(GAS!N38,'GAS ASCII'!$B$2:$D$210,3)&lt;=0,0,"*"))</f>
        <v>0</v>
      </c>
      <c r="K38" s="21"/>
      <c r="L38" s="277">
        <f>IF(VLOOKUP(GAS!N38,'GAS ASCII'!$B$2:$E$210,4)&gt;=500000,VLOOKUP(GAS!N38,'GAS ASCII'!$B$2:$E$210,4)/1000000,IF(VLOOKUP(GAS!N38,'GAS ASCII'!$B$2:$E$210,4)&lt;=0,"……………….","*"))</f>
        <v>116.5541962</v>
      </c>
      <c r="M38" s="16"/>
      <c r="N38" t="s">
        <v>731</v>
      </c>
      <c r="O38" s="212"/>
    </row>
    <row r="39" spans="3:15" ht="15.75" customHeight="1">
      <c r="C39" s="5" t="s">
        <v>192</v>
      </c>
      <c r="H39" s="277">
        <f>IF(VLOOKUP(GAS!N39,'GAS ASCII'!$B$2:$C$210,2)&gt;=500000,VLOOKUP(GAS!N39,'GAS ASCII'!$B$2:$C$210,2)/1000000,IF(VLOOKUP(GAS!N39,'GAS ASCII'!$B$2:$C$210,2)&lt;=0,"……………….","*"))</f>
        <v>440.917</v>
      </c>
      <c r="I39" s="16"/>
      <c r="J39" s="277">
        <f>IF(VLOOKUP(GAS!N39,'GAS ASCII'!$B$2:$D$210,3)&gt;=500000,VLOOKUP(GAS!N39,'GAS ASCII'!$B$2:$D$210,3)/-1000000,IF(VLOOKUP(GAS!N39,'GAS ASCII'!$B$2:$D$210,3)&lt;=0,0,"*"))</f>
        <v>0</v>
      </c>
      <c r="K39" s="21"/>
      <c r="L39" s="277">
        <f>IF(VLOOKUP(GAS!N39,'GAS ASCII'!$B$2:$E$210,4)&gt;=500000,VLOOKUP(GAS!N39,'GAS ASCII'!$B$2:$E$210,4)/1000000,IF(VLOOKUP(GAS!N39,'GAS ASCII'!$B$2:$E$210,4)&lt;=0,"……………….","*"))</f>
        <v>440.917</v>
      </c>
      <c r="M39" s="16"/>
      <c r="N39" t="s">
        <v>767</v>
      </c>
      <c r="O39" s="212"/>
    </row>
    <row r="40" spans="3:15" ht="15.75" customHeight="1">
      <c r="C40" s="5" t="s">
        <v>1073</v>
      </c>
      <c r="H40" s="277">
        <f>IF(VLOOKUP(GAS!N40,'GAS ASCII'!$B$2:$C$210,2)&gt;=500000,VLOOKUP(GAS!N40,'GAS ASCII'!$B$2:$C$210,2)/1000000,IF(VLOOKUP(GAS!N40,'GAS ASCII'!$B$2:$C$210,2)&lt;=0,"……………….","*"))</f>
        <v>472.791</v>
      </c>
      <c r="I40" s="16"/>
      <c r="J40" s="277">
        <f>IF(VLOOKUP(GAS!N40,'GAS ASCII'!$B$2:$D$210,3)&gt;=500000,VLOOKUP(GAS!N40,'GAS ASCII'!$B$2:$D$210,3)/-1000000,IF(VLOOKUP(GAS!N40,'GAS ASCII'!$B$2:$D$210,3)&lt;=0,0,"*"))</f>
        <v>0</v>
      </c>
      <c r="K40" s="21"/>
      <c r="L40" s="277">
        <f>IF(VLOOKUP(GAS!N40,'GAS ASCII'!$B$2:$E$210,4)&gt;=500000,VLOOKUP(GAS!N40,'GAS ASCII'!$B$2:$E$210,4)/1000000,IF(VLOOKUP(GAS!N40,'GAS ASCII'!$B$2:$E$210,4)&lt;=0,"……………….","*"))</f>
        <v>472.791</v>
      </c>
      <c r="M40" s="16"/>
      <c r="N40" t="s">
        <v>551</v>
      </c>
      <c r="O40" s="212"/>
    </row>
    <row r="41" spans="3:15" ht="15.75" customHeight="1">
      <c r="C41" s="5" t="s">
        <v>448</v>
      </c>
      <c r="H41" s="277">
        <f>IF(VLOOKUP(GAS!N41,'GAS ASCII'!$B$2:$C$210,2)&gt;=500000,VLOOKUP(GAS!N41,'GAS ASCII'!$B$2:$C$210,2)/1000000,IF(VLOOKUP(GAS!N41,'GAS ASCII'!$B$2:$C$210,2)&lt;=0,"……………….","*"))</f>
        <v>489.388</v>
      </c>
      <c r="I41" s="16"/>
      <c r="J41" s="277">
        <f>IF(VLOOKUP(GAS!N41,'GAS ASCII'!$B$2:$D$210,3)&gt;=500000,VLOOKUP(GAS!N41,'GAS ASCII'!$B$2:$D$210,3)/-1000000,IF(VLOOKUP(GAS!N41,'GAS ASCII'!$B$2:$D$210,3)&lt;=0,0,"*"))</f>
        <v>0</v>
      </c>
      <c r="K41" s="21"/>
      <c r="L41" s="277">
        <f>IF(VLOOKUP(GAS!N41,'GAS ASCII'!$B$2:$E$210,4)&gt;=500000,VLOOKUP(GAS!N41,'GAS ASCII'!$B$2:$E$210,4)/1000000,IF(VLOOKUP(GAS!N41,'GAS ASCII'!$B$2:$E$210,4)&lt;=0,"……………….","*"))</f>
        <v>489.388</v>
      </c>
      <c r="M41" s="16"/>
      <c r="N41" t="s">
        <v>553</v>
      </c>
      <c r="O41" s="212"/>
    </row>
    <row r="42" spans="3:15" ht="30.75" customHeight="1">
      <c r="C42" s="5" t="s">
        <v>690</v>
      </c>
      <c r="H42" s="277">
        <f>IF(VLOOKUP(GAS!N42,'GAS ASCII'!$B$2:$C$210,2)&gt;=500000,VLOOKUP(GAS!N42,'GAS ASCII'!$B$2:$C$210,2)/1000000,IF(VLOOKUP(GAS!N42,'GAS ASCII'!$B$2:$C$210,2)&lt;=0,"……………….","*"))</f>
        <v>33794.38635</v>
      </c>
      <c r="I42" s="16"/>
      <c r="J42" s="277">
        <f>IF(VLOOKUP(GAS!N42,'GAS ASCII'!$B$2:$D$210,3)&gt;=500000,VLOOKUP(GAS!N42,'GAS ASCII'!$B$2:$D$210,3)/-1000000,IF(VLOOKUP(GAS!N42,'GAS ASCII'!$B$2:$D$210,3)&lt;=0,0,"*"))</f>
        <v>-1480</v>
      </c>
      <c r="K42" s="16"/>
      <c r="L42" s="277">
        <f>IF(VLOOKUP(GAS!N42,'GAS ASCII'!$B$2:$E$210,4)&gt;=500000,VLOOKUP(GAS!N42,'GAS ASCII'!$B$2:$E$210,4)/1000000,IF(VLOOKUP(GAS!N42,'GAS ASCII'!$B$2:$E$210,4)&lt;=0,"……………….","*"))</f>
        <v>32314.38635</v>
      </c>
      <c r="M42" s="16"/>
      <c r="N42" t="s">
        <v>555</v>
      </c>
      <c r="O42" s="212"/>
    </row>
    <row r="43" spans="2:15" ht="15.75" customHeight="1">
      <c r="B43" s="118"/>
      <c r="C43" s="5" t="s">
        <v>1107</v>
      </c>
      <c r="D43" s="62"/>
      <c r="H43" s="277">
        <f>IF(VLOOKUP(GAS!N43,'GAS ASCII'!$B$2:$C$210,2)&gt;=500000,VLOOKUP(GAS!N43,'GAS ASCII'!$B$2:$C$210,2)/1000000,IF(VLOOKUP(GAS!N43,'GAS ASCII'!$B$2:$C$210,2)&lt;=0,"……………….","*"))</f>
        <v>0.759</v>
      </c>
      <c r="I43" s="16"/>
      <c r="J43" s="277">
        <f>IF(VLOOKUP(GAS!N43,'GAS ASCII'!$B$2:$D$210,3)&gt;=500000,VLOOKUP(GAS!N43,'GAS ASCII'!$B$2:$D$210,3)/-1000000,IF(VLOOKUP(GAS!N43,'GAS ASCII'!$B$2:$D$210,3)&lt;=0,0,"*"))</f>
        <v>0</v>
      </c>
      <c r="K43" s="21"/>
      <c r="L43" s="277">
        <f>IF(VLOOKUP(GAS!N43,'GAS ASCII'!$B$2:$E$210,4)&gt;=500000,VLOOKUP(GAS!N43,'GAS ASCII'!$B$2:$E$210,4)/1000000,IF(VLOOKUP(GAS!N43,'GAS ASCII'!$B$2:$E$210,4)&lt;=0,"……………….","*"))</f>
        <v>0.759</v>
      </c>
      <c r="M43" s="16"/>
      <c r="N43" t="s">
        <v>557</v>
      </c>
      <c r="O43" s="212"/>
    </row>
    <row r="44" spans="3:15" ht="15.75" customHeight="1">
      <c r="C44" s="5" t="s">
        <v>368</v>
      </c>
      <c r="H44" s="277">
        <f>IF(VLOOKUP(GAS!N44,'GAS ASCII'!$B$2:$C$210,2)&gt;=500000,VLOOKUP(GAS!N44,'GAS ASCII'!$B$2:$C$210,2)/1000000,IF(VLOOKUP(GAS!N44,'GAS ASCII'!$B$2:$C$210,2)&lt;=0,"……………….","*"))</f>
        <v>1.81</v>
      </c>
      <c r="I44" s="16"/>
      <c r="J44" s="277">
        <f>IF(VLOOKUP(GAS!N44,'GAS ASCII'!$B$2:$D$210,3)&gt;=500000,VLOOKUP(GAS!N44,'GAS ASCII'!$B$2:$D$210,3)/-1000000,IF(VLOOKUP(GAS!N44,'GAS ASCII'!$B$2:$D$210,3)&lt;=0,0,"*"))</f>
        <v>0</v>
      </c>
      <c r="K44" s="21"/>
      <c r="L44" s="277">
        <f>IF(VLOOKUP(GAS!N44,'GAS ASCII'!$B$2:$E$210,4)&gt;=500000,VLOOKUP(GAS!N44,'GAS ASCII'!$B$2:$E$210,4)/1000000,IF(VLOOKUP(GAS!N44,'GAS ASCII'!$B$2:$E$210,4)&lt;=0,"……………….","*"))</f>
        <v>1.81</v>
      </c>
      <c r="M44" s="89"/>
      <c r="N44" t="s">
        <v>558</v>
      </c>
      <c r="O44" s="212"/>
    </row>
    <row r="45" spans="3:15" ht="15.75" customHeight="1">
      <c r="C45" s="5" t="s">
        <v>42</v>
      </c>
      <c r="H45" s="277"/>
      <c r="I45" s="16"/>
      <c r="J45" s="277"/>
      <c r="K45" s="21"/>
      <c r="L45" s="277"/>
      <c r="M45" s="89"/>
      <c r="O45" s="212"/>
    </row>
    <row r="46" spans="3:15" ht="15.75" customHeight="1">
      <c r="C46" s="5" t="s">
        <v>1058</v>
      </c>
      <c r="H46" s="277" t="str">
        <f>IF(VLOOKUP(GAS!N46,'GAS ASCII'!$B$2:$C$210,2)&gt;=500000,VLOOKUP(GAS!N46,'GAS ASCII'!$B$2:$C$210,2)/1000000,IF(VLOOKUP(GAS!N46,'GAS ASCII'!$B$2:$C$210,2)&lt;=0,"……………….","*"))</f>
        <v>*</v>
      </c>
      <c r="I46" s="16"/>
      <c r="J46" s="277">
        <f>IF(VLOOKUP(GAS!N46,'GAS ASCII'!$B$2:$D$210,3)&gt;=500000,VLOOKUP(GAS!N46,'GAS ASCII'!$B$2:$D$210,3)/-1000000,IF(VLOOKUP(GAS!N46,'GAS ASCII'!$B$2:$D$210,3)&lt;=0,0,"*"))</f>
        <v>0</v>
      </c>
      <c r="K46" s="21"/>
      <c r="L46" s="277" t="str">
        <f>IF(VLOOKUP(GAS!N46,'GAS ASCII'!$B$2:$E$210,4)&gt;=500000,VLOOKUP(GAS!N46,'GAS ASCII'!$B$2:$E$210,4)/1000000,IF(VLOOKUP(GAS!N46,'GAS ASCII'!$B$2:$E$210,4)&lt;=0,"……………….","*"))</f>
        <v>*</v>
      </c>
      <c r="M46" s="89"/>
      <c r="N46" t="s">
        <v>629</v>
      </c>
      <c r="O46" s="212"/>
    </row>
    <row r="47" spans="2:15" ht="15.75" customHeight="1">
      <c r="B47" s="118"/>
      <c r="C47" s="5" t="s">
        <v>630</v>
      </c>
      <c r="D47" s="62"/>
      <c r="H47" s="277">
        <f>IF(VLOOKUP(GAS!N47,'GAS ASCII'!$B$2:$C$210,2)&gt;=500000,VLOOKUP(GAS!N47,'GAS ASCII'!$B$2:$C$210,2)/1000000,IF(VLOOKUP(GAS!N47,'GAS ASCII'!$B$2:$C$210,2)&lt;=0,"……………….","*"))</f>
        <v>7.56639837</v>
      </c>
      <c r="I47" s="16"/>
      <c r="J47" s="277">
        <f>IF(VLOOKUP(GAS!N47,'GAS ASCII'!$B$2:$D$210,3)&gt;=500000,VLOOKUP(GAS!N47,'GAS ASCII'!$B$2:$D$210,3)/-1000000,IF(VLOOKUP(GAS!N47,'GAS ASCII'!$B$2:$D$210,3)&lt;=0,0,"*"))</f>
        <v>0</v>
      </c>
      <c r="K47" s="21"/>
      <c r="L47" s="277">
        <f>IF(VLOOKUP(GAS!N47,'GAS ASCII'!$B$2:$E$210,4)&gt;=500000,VLOOKUP(GAS!N47,'GAS ASCII'!$B$2:$E$210,4)/1000000,IF(VLOOKUP(GAS!N47,'GAS ASCII'!$B$2:$E$210,4)&lt;=0,"……………….","*"))</f>
        <v>7.56639837</v>
      </c>
      <c r="M47" s="16"/>
      <c r="N47" t="s">
        <v>58</v>
      </c>
      <c r="O47" s="212"/>
    </row>
    <row r="48" spans="3:15" ht="30.75" customHeight="1">
      <c r="C48" s="5" t="s">
        <v>1079</v>
      </c>
      <c r="H48" s="277">
        <f>IF(VLOOKUP(GAS!N48,'GAS ASCII'!$B$2:$C$210,2)&gt;=500000,VLOOKUP(GAS!N48,'GAS ASCII'!$B$2:$C$210,2)/1000000,IF(VLOOKUP(GAS!N48,'GAS ASCII'!$B$2:$C$210,2)&lt;=0,"……………….","*"))</f>
        <v>62.679</v>
      </c>
      <c r="I48" s="16"/>
      <c r="J48" s="277">
        <f>IF(VLOOKUP(GAS!N48,'GAS ASCII'!$B$2:$D$210,3)&gt;=500000,VLOOKUP(GAS!N48,'GAS ASCII'!$B$2:$D$210,3)/-1000000,IF(VLOOKUP(GAS!N48,'GAS ASCII'!$B$2:$D$210,3)&lt;=0,0,"*"))</f>
        <v>-13.455</v>
      </c>
      <c r="K48" s="16"/>
      <c r="L48" s="277">
        <f>IF(VLOOKUP(GAS!N48,'GAS ASCII'!$B$2:$E$210,4)&gt;=500000,VLOOKUP(GAS!N48,'GAS ASCII'!$B$2:$E$210,4)/1000000,IF(VLOOKUP(GAS!N48,'GAS ASCII'!$B$2:$E$210,4)&lt;=0,"……………….","*"))</f>
        <v>49.224</v>
      </c>
      <c r="M48" s="16"/>
      <c r="N48" t="s">
        <v>272</v>
      </c>
      <c r="O48" s="212"/>
    </row>
    <row r="49" spans="3:15" ht="15.75" customHeight="1">
      <c r="C49" s="5" t="s">
        <v>43</v>
      </c>
      <c r="H49" s="277"/>
      <c r="I49" s="16"/>
      <c r="J49" s="277"/>
      <c r="K49" s="21"/>
      <c r="L49" s="277"/>
      <c r="M49" s="16"/>
      <c r="O49" s="212"/>
    </row>
    <row r="50" spans="3:15" ht="15.75" customHeight="1">
      <c r="C50" s="5" t="s">
        <v>1023</v>
      </c>
      <c r="H50" s="277">
        <f>IF(VLOOKUP(GAS!N50,'GAS ASCII'!$B$2:$C$210,2)&gt;=500000,VLOOKUP(GAS!N50,'GAS ASCII'!$B$2:$C$210,2)/1000000,IF(VLOOKUP(GAS!N50,'GAS ASCII'!$B$2:$C$210,2)&lt;=0,"……………….","*"))</f>
        <v>28.24272178</v>
      </c>
      <c r="I50" s="16"/>
      <c r="J50" s="277" t="str">
        <f>IF(VLOOKUP(GAS!N50,'GAS ASCII'!$B$2:$D$210,3)&gt;=500000,VLOOKUP(GAS!N50,'GAS ASCII'!$B$2:$D$210,3)/-1000000,IF(VLOOKUP(GAS!N50,'GAS ASCII'!$B$2:$D$210,3)&lt;=0,0,"*"))</f>
        <v>*</v>
      </c>
      <c r="K50" s="21"/>
      <c r="L50" s="277">
        <f>IF(VLOOKUP(GAS!N50,'GAS ASCII'!$B$2:$E$210,4)&gt;=500000,VLOOKUP(GAS!N50,'GAS ASCII'!$B$2:$E$210,4)/1000000,IF(VLOOKUP(GAS!N50,'GAS ASCII'!$B$2:$E$210,4)&lt;=0,"……………….","*"))</f>
        <v>28.24142599</v>
      </c>
      <c r="M50" s="89"/>
      <c r="N50" t="s">
        <v>520</v>
      </c>
      <c r="O50" s="212"/>
    </row>
    <row r="51" spans="3:15" ht="15.75" customHeight="1">
      <c r="C51" s="5" t="s">
        <v>434</v>
      </c>
      <c r="H51" s="277"/>
      <c r="I51" s="16"/>
      <c r="J51" s="277"/>
      <c r="K51" s="16"/>
      <c r="L51" s="277"/>
      <c r="M51" s="16"/>
      <c r="O51" s="212"/>
    </row>
    <row r="52" spans="3:15" ht="15.75" customHeight="1">
      <c r="C52" s="5" t="s">
        <v>313</v>
      </c>
      <c r="H52" s="277">
        <f>IF(VLOOKUP(GAS!N52,'GAS ASCII'!$B$2:$C$210,2)&gt;=500000,VLOOKUP(GAS!N52,'GAS ASCII'!$B$2:$C$210,2)/1000000,IF(VLOOKUP(GAS!N52,'GAS ASCII'!$B$2:$C$210,2)&lt;=0,"……………….","*"))</f>
        <v>2.032</v>
      </c>
      <c r="I52" s="16"/>
      <c r="J52" s="277">
        <f>IF(VLOOKUP(GAS!N52,'GAS ASCII'!$B$2:$D$210,3)&gt;=500000,VLOOKUP(GAS!N52,'GAS ASCII'!$B$2:$D$210,3)/-1000000,IF(VLOOKUP(GAS!N52,'GAS ASCII'!$B$2:$D$210,3)&lt;=0,0,"*"))</f>
        <v>0</v>
      </c>
      <c r="K52" s="21"/>
      <c r="L52" s="277">
        <f>IF(VLOOKUP(GAS!N52,'GAS ASCII'!$B$2:$E$210,4)&gt;=500000,VLOOKUP(GAS!N52,'GAS ASCII'!$B$2:$E$210,4)/1000000,IF(VLOOKUP(GAS!N52,'GAS ASCII'!$B$2:$E$210,4)&lt;=0,"……………….","*"))</f>
        <v>2.032</v>
      </c>
      <c r="M52" s="16"/>
      <c r="N52" t="s">
        <v>522</v>
      </c>
      <c r="O52" s="212"/>
    </row>
    <row r="53" spans="3:15" ht="15.75" customHeight="1">
      <c r="C53" s="5" t="s">
        <v>1082</v>
      </c>
      <c r="H53" s="277">
        <f>IF(VLOOKUP(GAS!N53,'GAS ASCII'!$B$2:$C$210,2)&gt;=500000,VLOOKUP(GAS!N53,'GAS ASCII'!$B$2:$C$210,2)/1000000,IF(VLOOKUP(GAS!N53,'GAS ASCII'!$B$2:$C$210,2)&lt;=0,"……………….","*"))</f>
        <v>737857.43773675</v>
      </c>
      <c r="I53" s="16"/>
      <c r="J53" s="277">
        <f>IF(VLOOKUP(GAS!N53,'GAS ASCII'!$B$2:$D$210,3)&gt;=500000,VLOOKUP(GAS!N53,'GAS ASCII'!$B$2:$D$210,3)/-1000000,IF(VLOOKUP(GAS!N53,'GAS ASCII'!$B$2:$D$210,3)&lt;=0,0,"*"))</f>
        <v>-111590.46565144</v>
      </c>
      <c r="K53" s="16"/>
      <c r="L53" s="277">
        <f>IF(VLOOKUP(GAS!N53,'GAS ASCII'!$B$2:$E$210,4)&gt;=500000,VLOOKUP(GAS!N53,'GAS ASCII'!$B$2:$E$210,4)/1000000,IF(VLOOKUP(GAS!N53,'GAS ASCII'!$B$2:$E$210,4)&lt;=0,"……………….","*"))</f>
        <v>626266.97208531</v>
      </c>
      <c r="M53" s="16"/>
      <c r="N53" t="s">
        <v>524</v>
      </c>
      <c r="O53" s="212"/>
    </row>
    <row r="54" spans="3:15" ht="15.75" customHeight="1">
      <c r="C54" s="5" t="s">
        <v>367</v>
      </c>
      <c r="H54" s="277">
        <f>IF(VLOOKUP(GAS!N54,'GAS ASCII'!$B$2:$C$210,2)&gt;=500000,VLOOKUP(GAS!N54,'GAS ASCII'!$B$2:$C$210,2)/1000000,IF(VLOOKUP(GAS!N54,'GAS ASCII'!$B$2:$C$210,2)&lt;=0,"……………….","*"))</f>
        <v>13.024</v>
      </c>
      <c r="I54" s="16"/>
      <c r="J54" s="277">
        <f>IF(VLOOKUP(GAS!N54,'GAS ASCII'!$B$2:$D$210,3)&gt;=500000,VLOOKUP(GAS!N54,'GAS ASCII'!$B$2:$D$210,3)/-1000000,IF(VLOOKUP(GAS!N54,'GAS ASCII'!$B$2:$D$210,3)&lt;=0,0,"*"))</f>
        <v>0</v>
      </c>
      <c r="K54" s="21"/>
      <c r="L54" s="277">
        <f>IF(VLOOKUP(GAS!N54,'GAS ASCII'!$B$2:$E$210,4)&gt;=500000,VLOOKUP(GAS!N54,'GAS ASCII'!$B$2:$E$210,4)/1000000,IF(VLOOKUP(GAS!N54,'GAS ASCII'!$B$2:$E$210,4)&lt;=0,"……………….","*"))</f>
        <v>13.024</v>
      </c>
      <c r="M54" s="16"/>
      <c r="N54" t="s">
        <v>526</v>
      </c>
      <c r="O54" s="212"/>
    </row>
    <row r="55" spans="3:15" ht="15.75" customHeight="1">
      <c r="C55" s="5" t="s">
        <v>671</v>
      </c>
      <c r="H55" s="277">
        <f>IF(VLOOKUP(GAS!N55,'GAS ASCII'!$B$2:$C$210,2)&gt;=500000,VLOOKUP(GAS!N55,'GAS ASCII'!$B$2:$C$210,2)/1000000,IF(VLOOKUP(GAS!N55,'GAS ASCII'!$B$2:$C$210,2)&lt;=0,"……………….","*"))</f>
        <v>1.27</v>
      </c>
      <c r="I55" s="16"/>
      <c r="J55" s="277">
        <f>IF(VLOOKUP(GAS!N55,'GAS ASCII'!$B$2:$D$210,3)&gt;=500000,VLOOKUP(GAS!N55,'GAS ASCII'!$B$2:$D$210,3)/-1000000,IF(VLOOKUP(GAS!N55,'GAS ASCII'!$B$2:$D$210,3)&lt;=0,0,"*"))</f>
        <v>0</v>
      </c>
      <c r="K55" s="21"/>
      <c r="L55" s="277">
        <f>IF(VLOOKUP(GAS!N55,'GAS ASCII'!$B$2:$E$210,4)&gt;=500000,VLOOKUP(GAS!N55,'GAS ASCII'!$B$2:$E$210,4)/1000000,IF(VLOOKUP(GAS!N55,'GAS ASCII'!$B$2:$E$210,4)&lt;=0,"……………….","*"))</f>
        <v>1.27</v>
      </c>
      <c r="M55" s="16"/>
      <c r="N55" t="s">
        <v>527</v>
      </c>
      <c r="O55" s="212"/>
    </row>
    <row r="56" spans="3:15" ht="15.75" customHeight="1">
      <c r="C56" s="5" t="s">
        <v>28</v>
      </c>
      <c r="H56" s="277"/>
      <c r="I56" s="16"/>
      <c r="J56" s="277"/>
      <c r="K56" s="21"/>
      <c r="L56" s="277"/>
      <c r="M56" s="16"/>
      <c r="O56" s="212"/>
    </row>
    <row r="57" spans="3:15" ht="15.75" customHeight="1">
      <c r="C57" s="5" t="s">
        <v>678</v>
      </c>
      <c r="H57" s="277">
        <f>IF(VLOOKUP(GAS!N57,'GAS ASCII'!$B$2:$C$210,2)&gt;=500000,VLOOKUP(GAS!N57,'GAS ASCII'!$B$2:$C$210,2)/1000000,IF(VLOOKUP(GAS!N57,'GAS ASCII'!$B$2:$C$210,2)&lt;=0,"……………….","*"))</f>
        <v>7.5</v>
      </c>
      <c r="I57" s="16"/>
      <c r="J57" s="277">
        <f>IF(VLOOKUP(GAS!N57,'GAS ASCII'!$B$2:$D$210,3)&gt;=500000,VLOOKUP(GAS!N57,'GAS ASCII'!$B$2:$D$210,3)/-1000000,IF(VLOOKUP(GAS!N57,'GAS ASCII'!$B$2:$D$210,3)&lt;=0,0,"*"))</f>
        <v>0</v>
      </c>
      <c r="K57" s="21"/>
      <c r="L57" s="277">
        <f>IF(VLOOKUP(GAS!N57,'GAS ASCII'!$B$2:$E$210,4)&gt;=500000,VLOOKUP(GAS!N57,'GAS ASCII'!$B$2:$E$210,4)/1000000,IF(VLOOKUP(GAS!N57,'GAS ASCII'!$B$2:$E$210,4)&lt;=0,"……………….","*"))</f>
        <v>7.5</v>
      </c>
      <c r="M57" s="16"/>
      <c r="N57" t="s">
        <v>529</v>
      </c>
      <c r="O57" s="212"/>
    </row>
    <row r="58" spans="3:15" ht="15.75" customHeight="1">
      <c r="C58" s="5" t="s">
        <v>615</v>
      </c>
      <c r="H58" s="277">
        <f>IF(VLOOKUP(GAS!N58,'GAS ASCII'!$B$2:$C$210,2)&gt;=500000,VLOOKUP(GAS!N58,'GAS ASCII'!$B$2:$C$210,2)/1000000,IF(VLOOKUP(GAS!N58,'GAS ASCII'!$B$2:$C$210,2)&lt;=0,"……………….","*"))</f>
        <v>4.005</v>
      </c>
      <c r="I58" s="16"/>
      <c r="J58" s="277">
        <f>IF(VLOOKUP(GAS!N58,'GAS ASCII'!$B$2:$D$210,3)&gt;=500000,VLOOKUP(GAS!N58,'GAS ASCII'!$B$2:$D$210,3)/-1000000,IF(VLOOKUP(GAS!N58,'GAS ASCII'!$B$2:$D$210,3)&lt;=0,0,"*"))</f>
        <v>0</v>
      </c>
      <c r="K58" s="21"/>
      <c r="L58" s="277">
        <f>IF(VLOOKUP(GAS!N58,'GAS ASCII'!$B$2:$E$210,4)&gt;=500000,VLOOKUP(GAS!N58,'GAS ASCII'!$B$2:$E$210,4)/1000000,IF(VLOOKUP(GAS!N58,'GAS ASCII'!$B$2:$E$210,4)&lt;=0,"……………….","*"))</f>
        <v>4.005</v>
      </c>
      <c r="M58" s="16"/>
      <c r="N58" t="s">
        <v>675</v>
      </c>
      <c r="O58" s="212"/>
    </row>
    <row r="59" spans="3:15" ht="15.75" customHeight="1">
      <c r="C59" s="5" t="s">
        <v>912</v>
      </c>
      <c r="H59" s="277">
        <f>IF(VLOOKUP(GAS!N59,'GAS ASCII'!$B$2:$C$210,2)&gt;=500000,VLOOKUP(GAS!N59,'GAS ASCII'!$B$2:$C$210,2)/1000000,IF(VLOOKUP(GAS!N59,'GAS ASCII'!$B$2:$C$210,2)&lt;=0,"……………….","*"))</f>
        <v>7.608</v>
      </c>
      <c r="I59" s="16"/>
      <c r="J59" s="277">
        <f>IF(VLOOKUP(GAS!N59,'GAS ASCII'!$B$2:$D$210,3)&gt;=500000,VLOOKUP(GAS!N59,'GAS ASCII'!$B$2:$D$210,3)/-1000000,IF(VLOOKUP(GAS!N59,'GAS ASCII'!$B$2:$D$210,3)&lt;=0,0,"*"))</f>
        <v>0</v>
      </c>
      <c r="K59" s="21"/>
      <c r="L59" s="277">
        <f>IF(VLOOKUP(GAS!N59,'GAS ASCII'!$B$2:$E$210,4)&gt;=500000,VLOOKUP(GAS!N59,'GAS ASCII'!$B$2:$E$210,4)/1000000,IF(VLOOKUP(GAS!N59,'GAS ASCII'!$B$2:$E$210,4)&lt;=0,"……………….","*"))</f>
        <v>7.608</v>
      </c>
      <c r="M59" s="16"/>
      <c r="N59" t="s">
        <v>103</v>
      </c>
      <c r="O59" s="212"/>
    </row>
    <row r="60" spans="3:15" ht="15.75" customHeight="1">
      <c r="C60" s="5" t="s">
        <v>31</v>
      </c>
      <c r="H60" s="277">
        <f>IF(VLOOKUP(GAS!N60,'GAS ASCII'!$B$2:$C$210,2)&gt;=500000,VLOOKUP(GAS!N60,'GAS ASCII'!$B$2:$C$210,2)/1000000,IF(VLOOKUP(GAS!N60,'GAS ASCII'!$B$2:$C$210,2)&lt;=0,"……………….","*"))</f>
        <v>10.098</v>
      </c>
      <c r="I60" s="16"/>
      <c r="J60" s="277">
        <f>IF(VLOOKUP(GAS!N60,'GAS ASCII'!$B$2:$D$210,3)&gt;=500000,VLOOKUP(GAS!N60,'GAS ASCII'!$B$2:$D$210,3)/-1000000,IF(VLOOKUP(GAS!N60,'GAS ASCII'!$B$2:$D$210,3)&lt;=0,0,"*"))</f>
        <v>0</v>
      </c>
      <c r="K60" s="21"/>
      <c r="L60" s="277">
        <f>IF(VLOOKUP(GAS!N60,'GAS ASCII'!$B$2:$E$210,4)&gt;=500000,VLOOKUP(GAS!N60,'GAS ASCII'!$B$2:$E$210,4)/1000000,IF(VLOOKUP(GAS!N60,'GAS ASCII'!$B$2:$E$210,4)&lt;=0,"……………….","*"))</f>
        <v>10.098</v>
      </c>
      <c r="M60" s="16"/>
      <c r="N60" t="s">
        <v>532</v>
      </c>
      <c r="O60" s="212"/>
    </row>
    <row r="61" spans="3:15" ht="30.75" customHeight="1">
      <c r="C61" s="5" t="s">
        <v>743</v>
      </c>
      <c r="H61" s="277">
        <f>IF(VLOOKUP(GAS!N61,'GAS ASCII'!$B$2:$C$210,2)&gt;=500000,VLOOKUP(GAS!N61,'GAS ASCII'!$B$2:$C$210,2)/1000000,IF(VLOOKUP(GAS!N61,'GAS ASCII'!$B$2:$C$210,2)&lt;=0,"……………….","*"))</f>
        <v>5.7572424</v>
      </c>
      <c r="I61" s="16"/>
      <c r="J61" s="277">
        <f>IF(VLOOKUP(GAS!N61,'GAS ASCII'!$B$2:$D$210,3)&gt;=500000,VLOOKUP(GAS!N61,'GAS ASCII'!$B$2:$D$210,3)/-1000000,IF(VLOOKUP(GAS!N61,'GAS ASCII'!$B$2:$D$210,3)&lt;=0,0,"*"))</f>
        <v>0</v>
      </c>
      <c r="K61" s="16"/>
      <c r="L61" s="277">
        <f>IF(VLOOKUP(GAS!N61,'GAS ASCII'!$B$2:$E$210,4)&gt;=500000,VLOOKUP(GAS!N61,'GAS ASCII'!$B$2:$E$210,4)/1000000,IF(VLOOKUP(GAS!N61,'GAS ASCII'!$B$2:$E$210,4)&lt;=0,"……………….","*"))</f>
        <v>5.7572424</v>
      </c>
      <c r="M61" s="16"/>
      <c r="N61" t="s">
        <v>1096</v>
      </c>
      <c r="O61" s="212"/>
    </row>
    <row r="62" spans="3:15" ht="15.75" customHeight="1">
      <c r="C62" s="5" t="s">
        <v>344</v>
      </c>
      <c r="H62" s="277">
        <f>IF(VLOOKUP(GAS!N62,'GAS ASCII'!$B$2:$C$210,2)&gt;=500000,VLOOKUP(GAS!N62,'GAS ASCII'!$B$2:$C$210,2)/1000000,IF(VLOOKUP(GAS!N62,'GAS ASCII'!$B$2:$C$210,2)&lt;=0,"……………….","*"))</f>
        <v>989.79097266</v>
      </c>
      <c r="I62" s="274"/>
      <c r="J62" s="277">
        <f>IF(VLOOKUP(GAS!N62,'GAS ASCII'!$B$2:$D$210,3)&gt;=500000,VLOOKUP(GAS!N62,'GAS ASCII'!$B$2:$D$210,3)/-1000000,IF(VLOOKUP(GAS!N62,'GAS ASCII'!$B$2:$D$210,3)&lt;=0,0,"*"))</f>
        <v>0</v>
      </c>
      <c r="K62" s="21"/>
      <c r="L62" s="277">
        <f>IF(VLOOKUP(GAS!N62,'GAS ASCII'!$B$2:$E$210,4)&gt;=500000,VLOOKUP(GAS!N62,'GAS ASCII'!$B$2:$E$210,4)/1000000,IF(VLOOKUP(GAS!N62,'GAS ASCII'!$B$2:$E$210,4)&lt;=0,"……………….","*"))</f>
        <v>989.79097266</v>
      </c>
      <c r="M62" s="16"/>
      <c r="N62" t="s">
        <v>534</v>
      </c>
      <c r="O62" s="212"/>
    </row>
    <row r="63" spans="3:15" ht="15.75" customHeight="1">
      <c r="C63" s="5" t="s">
        <v>742</v>
      </c>
      <c r="H63" s="277">
        <f>IF(VLOOKUP(GAS!N63,'GAS ASCII'!$B$2:$C$210,2)&gt;=500000,VLOOKUP(GAS!N63,'GAS ASCII'!$B$2:$C$210,2)/1000000,IF(VLOOKUP(GAS!N63,'GAS ASCII'!$B$2:$C$210,2)&lt;=0,"……………….","*"))</f>
        <v>51300.58364312</v>
      </c>
      <c r="I63" s="274"/>
      <c r="J63" s="277">
        <f>IF(VLOOKUP(GAS!N63,'GAS ASCII'!$B$2:$D$210,3)&gt;=500000,VLOOKUP(GAS!N63,'GAS ASCII'!$B$2:$D$210,3)/-1000000,IF(VLOOKUP(GAS!N63,'GAS ASCII'!$B$2:$D$210,3)&lt;=0,0,"*"))</f>
        <v>0</v>
      </c>
      <c r="K63" s="21"/>
      <c r="L63" s="277">
        <f>IF(VLOOKUP(GAS!N63,'GAS ASCII'!$B$2:$E$210,4)&gt;=500000,VLOOKUP(GAS!N63,'GAS ASCII'!$B$2:$E$210,4)/1000000,IF(VLOOKUP(GAS!N63,'GAS ASCII'!$B$2:$E$210,4)&lt;=0,"……………….","*"))</f>
        <v>51300.58364312</v>
      </c>
      <c r="M63" s="16"/>
      <c r="N63" t="s">
        <v>536</v>
      </c>
      <c r="O63" s="212"/>
    </row>
    <row r="64" spans="3:15" ht="15.75" customHeight="1">
      <c r="C64" s="5" t="s">
        <v>517</v>
      </c>
      <c r="H64" s="277">
        <f>IF(VLOOKUP(GAS!N64,'GAS ASCII'!$B$2:$C$210,2)&gt;=500000,VLOOKUP(GAS!N64,'GAS ASCII'!$B$2:$C$210,2)/1000000,IF(VLOOKUP(GAS!N64,'GAS ASCII'!$B$2:$C$210,2)&lt;=0,"……………….","*"))</f>
        <v>183757.26259733998</v>
      </c>
      <c r="I64" s="274"/>
      <c r="J64" s="277">
        <f>IF(VLOOKUP(GAS!N64,'GAS ASCII'!$B$2:$D$210,3)&gt;=500000,VLOOKUP(GAS!N64,'GAS ASCII'!$B$2:$D$210,3)/-1000000,IF(VLOOKUP(GAS!N64,'GAS ASCII'!$B$2:$D$210,3)&lt;=0,0,"*"))</f>
        <v>-4822.715</v>
      </c>
      <c r="K64" s="16"/>
      <c r="L64" s="277">
        <f>IF(VLOOKUP(GAS!N64,'GAS ASCII'!$B$2:$E$210,4)&gt;=500000,VLOOKUP(GAS!N64,'GAS ASCII'!$B$2:$E$210,4)/1000000,IF(VLOOKUP(GAS!N64,'GAS ASCII'!$B$2:$E$210,4)&lt;=0,"……………….","*"))</f>
        <v>178934.54759734</v>
      </c>
      <c r="M64" s="16"/>
      <c r="N64" t="s">
        <v>538</v>
      </c>
      <c r="O64" s="212"/>
    </row>
    <row r="65" spans="3:15" ht="15.75" customHeight="1">
      <c r="C65" s="5" t="s">
        <v>518</v>
      </c>
      <c r="H65" s="277">
        <f>IF(VLOOKUP(GAS!N65,'GAS ASCII'!$B$2:$C$210,2)&gt;=500000,VLOOKUP(GAS!N65,'GAS ASCII'!$B$2:$C$210,2)/1000000,IF(VLOOKUP(GAS!N65,'GAS ASCII'!$B$2:$C$210,2)&lt;=0,"……………….","*"))</f>
        <v>0.71</v>
      </c>
      <c r="I65" s="16"/>
      <c r="J65" s="277">
        <f>IF(VLOOKUP(GAS!N65,'GAS ASCII'!$B$2:$D$210,3)&gt;=500000,VLOOKUP(GAS!N65,'GAS ASCII'!$B$2:$D$210,3)/-1000000,IF(VLOOKUP(GAS!N65,'GAS ASCII'!$B$2:$D$210,3)&lt;=0,0,"*"))</f>
        <v>0</v>
      </c>
      <c r="K65" s="2"/>
      <c r="L65" s="277">
        <f>IF(VLOOKUP(GAS!N65,'GAS ASCII'!$B$2:$E$210,4)&gt;=500000,VLOOKUP(GAS!N65,'GAS ASCII'!$B$2:$E$210,4)/1000000,IF(VLOOKUP(GAS!N65,'GAS ASCII'!$B$2:$E$210,4)&lt;=0,"……………….","*"))</f>
        <v>0.71</v>
      </c>
      <c r="M65" s="16"/>
      <c r="N65" t="s">
        <v>1028</v>
      </c>
      <c r="O65" s="212"/>
    </row>
    <row r="66" spans="3:15" ht="15.75" customHeight="1">
      <c r="C66" s="5" t="s">
        <v>1059</v>
      </c>
      <c r="H66" s="277">
        <f>IF(VLOOKUP(GAS!N66,'GAS ASCII'!$B$2:$C$210,2)&gt;=500000,VLOOKUP(GAS!N66,'GAS ASCII'!$B$2:$C$210,2)/1000000,IF(VLOOKUP(GAS!N66,'GAS ASCII'!$B$2:$C$210,2)&lt;=0,"……………….","*"))</f>
        <v>3.441</v>
      </c>
      <c r="I66" s="16"/>
      <c r="J66" s="277">
        <f>IF(VLOOKUP(GAS!N66,'GAS ASCII'!$B$2:$D$210,3)&gt;=500000,VLOOKUP(GAS!N66,'GAS ASCII'!$B$2:$D$210,3)/-1000000,IF(VLOOKUP(GAS!N66,'GAS ASCII'!$B$2:$D$210,3)&lt;=0,0,"*"))</f>
        <v>0</v>
      </c>
      <c r="K66" s="21"/>
      <c r="L66" s="277">
        <f>IF(VLOOKUP(GAS!N66,'GAS ASCII'!$B$2:$E$210,4)&gt;=500000,VLOOKUP(GAS!N66,'GAS ASCII'!$B$2:$E$210,4)/1000000,IF(VLOOKUP(GAS!N66,'GAS ASCII'!$B$2:$E$210,4)&lt;=0,"……………….","*"))</f>
        <v>3.441</v>
      </c>
      <c r="M66" s="16"/>
      <c r="N66" t="s">
        <v>1030</v>
      </c>
      <c r="O66" s="212"/>
    </row>
    <row r="67" spans="3:15" ht="15.75" customHeight="1">
      <c r="C67" s="5" t="s">
        <v>1060</v>
      </c>
      <c r="H67" s="277">
        <f>IF(VLOOKUP(GAS!N67,'GAS ASCII'!$B$2:$C$210,2)&gt;=500000,VLOOKUP(GAS!N67,'GAS ASCII'!$B$2:$C$210,2)/1000000,IF(VLOOKUP(GAS!N67,'GAS ASCII'!$B$2:$C$210,2)&lt;=0,"……………….","*"))</f>
        <v>2.435</v>
      </c>
      <c r="I67" s="16"/>
      <c r="J67" s="277">
        <f>IF(VLOOKUP(GAS!N67,'GAS ASCII'!$B$2:$D$210,3)&gt;=500000,VLOOKUP(GAS!N67,'GAS ASCII'!$B$2:$D$210,3)/-1000000,IF(VLOOKUP(GAS!N67,'GAS ASCII'!$B$2:$D$210,3)&lt;=0,0,"*"))</f>
        <v>0</v>
      </c>
      <c r="K67" s="21"/>
      <c r="L67" s="277">
        <f>IF(VLOOKUP(GAS!N67,'GAS ASCII'!$B$2:$E$210,4)&gt;=500000,VLOOKUP(GAS!N67,'GAS ASCII'!$B$2:$E$210,4)/1000000,IF(VLOOKUP(GAS!N67,'GAS ASCII'!$B$2:$E$210,4)&lt;=0,"……………….","*"))</f>
        <v>2.435</v>
      </c>
      <c r="M67" s="77"/>
      <c r="N67" t="s">
        <v>1032</v>
      </c>
      <c r="O67" s="212"/>
    </row>
    <row r="68" spans="3:15" ht="15.75" customHeight="1">
      <c r="C68" s="5" t="s">
        <v>1061</v>
      </c>
      <c r="H68" s="277">
        <f>IF(VLOOKUP(GAS!N68,'GAS ASCII'!$B$2:$C$210,2)&gt;=500000,VLOOKUP(GAS!N68,'GAS ASCII'!$B$2:$C$210,2)/1000000,IF(VLOOKUP(GAS!N68,'GAS ASCII'!$B$2:$C$210,2)&lt;=0,"……………….","*"))</f>
        <v>97.94936844</v>
      </c>
      <c r="I68" s="16"/>
      <c r="J68" s="277">
        <f>IF(VLOOKUP(GAS!N68,'GAS ASCII'!$B$2:$D$210,3)&gt;=500000,VLOOKUP(GAS!N68,'GAS ASCII'!$B$2:$D$210,3)/-1000000,IF(VLOOKUP(GAS!N68,'GAS ASCII'!$B$2:$D$210,3)&lt;=0,0,"*"))</f>
        <v>0</v>
      </c>
      <c r="K68" s="21"/>
      <c r="L68" s="277">
        <f>IF(VLOOKUP(GAS!N68,'GAS ASCII'!$B$2:$E$210,4)&gt;=500000,VLOOKUP(GAS!N68,'GAS ASCII'!$B$2:$E$210,4)/1000000,IF(VLOOKUP(GAS!N68,'GAS ASCII'!$B$2:$E$210,4)&lt;=0,"……………….","*"))</f>
        <v>97.94936844</v>
      </c>
      <c r="M68" s="16"/>
      <c r="N68" t="s">
        <v>1033</v>
      </c>
      <c r="O68" s="212"/>
    </row>
    <row r="69" spans="3:15" ht="15.75" customHeight="1">
      <c r="C69" s="5" t="s">
        <v>200</v>
      </c>
      <c r="H69" s="277">
        <f>IF(VLOOKUP(GAS!N69,'GAS ASCII'!$B$2:$C$210,2)&gt;=500000,VLOOKUP(GAS!N69,'GAS ASCII'!$B$2:$C$210,2)/1000000,IF(VLOOKUP(GAS!N69,'GAS ASCII'!$B$2:$C$210,2)&lt;=0,"……………….","*"))</f>
        <v>3394.48014975</v>
      </c>
      <c r="I69" s="16"/>
      <c r="J69" s="277">
        <f>IF(VLOOKUP(GAS!N69,'GAS ASCII'!$B$2:$D$210,3)&gt;=500000,VLOOKUP(GAS!N69,'GAS ASCII'!$B$2:$D$210,3)/-1000000,IF(VLOOKUP(GAS!N69,'GAS ASCII'!$B$2:$D$210,3)&lt;=0,0,"*"))</f>
        <v>0</v>
      </c>
      <c r="K69" s="21"/>
      <c r="L69" s="277">
        <f>IF(VLOOKUP(GAS!N69,'GAS ASCII'!$B$2:$E$210,4)&gt;=500000,VLOOKUP(GAS!N69,'GAS ASCII'!$B$2:$E$210,4)/1000000,IF(VLOOKUP(GAS!N69,'GAS ASCII'!$B$2:$E$210,4)&lt;=0,"……………….","*"))</f>
        <v>3394.48014975</v>
      </c>
      <c r="M69" s="16"/>
      <c r="N69" t="s">
        <v>1109</v>
      </c>
      <c r="O69" s="212"/>
    </row>
    <row r="70" spans="3:15" ht="33" customHeight="1">
      <c r="C70" s="5" t="s">
        <v>26</v>
      </c>
      <c r="H70" s="277">
        <f>IF(VLOOKUP(GAS!N70,'GAS ASCII'!$B$2:$C$210,2)&gt;=500000,VLOOKUP(GAS!N70,'GAS ASCII'!$B$2:$C$210,2)/1000000,IF(VLOOKUP(GAS!N70,'GAS ASCII'!$B$2:$C$210,2)&lt;=0,"……………….","*"))</f>
        <v>7.497</v>
      </c>
      <c r="I70" s="16"/>
      <c r="J70" s="277">
        <f>IF(VLOOKUP(GAS!N70,'GAS ASCII'!$B$2:$D$210,3)&gt;=500000,VLOOKUP(GAS!N70,'GAS ASCII'!$B$2:$D$210,3)/-1000000,IF(VLOOKUP(GAS!N70,'GAS ASCII'!$B$2:$D$210,3)&lt;=0,0,"*"))</f>
        <v>0</v>
      </c>
      <c r="K70" s="16"/>
      <c r="L70" s="277">
        <f>IF(VLOOKUP(GAS!N70,'GAS ASCII'!$B$2:$E$210,4)&gt;=500000,VLOOKUP(GAS!N70,'GAS ASCII'!$B$2:$E$210,4)/1000000,IF(VLOOKUP(GAS!N70,'GAS ASCII'!$B$2:$E$210,4)&lt;=0,"……………….","*"))</f>
        <v>7.497</v>
      </c>
      <c r="M70" s="16"/>
      <c r="N70" t="s">
        <v>541</v>
      </c>
      <c r="O70" s="212"/>
    </row>
    <row r="71" spans="3:15" ht="15.75" customHeight="1">
      <c r="C71" s="5" t="s">
        <v>352</v>
      </c>
      <c r="H71" s="277">
        <f>IF(VLOOKUP(GAS!N71,'GAS ASCII'!$B$2:$C$210,2)&gt;=500000,VLOOKUP(GAS!N71,'GAS ASCII'!$B$2:$C$210,2)/1000000,IF(VLOOKUP(GAS!N71,'GAS ASCII'!$B$2:$C$210,2)&lt;=0,"……………….","*"))</f>
        <v>13397.432</v>
      </c>
      <c r="I71" s="16"/>
      <c r="J71" s="277">
        <f>IF(VLOOKUP(GAS!N71,'GAS ASCII'!$B$2:$D$210,3)&gt;=500000,VLOOKUP(GAS!N71,'GAS ASCII'!$B$2:$D$210,3)/-1000000,IF(VLOOKUP(GAS!N71,'GAS ASCII'!$B$2:$D$210,3)&lt;=0,0,"*"))</f>
        <v>-954</v>
      </c>
      <c r="K71" s="16"/>
      <c r="L71" s="277">
        <f>IF(VLOOKUP(GAS!N71,'GAS ASCII'!$B$2:$E$210,4)&gt;=500000,VLOOKUP(GAS!N71,'GAS ASCII'!$B$2:$E$210,4)/1000000,IF(VLOOKUP(GAS!N71,'GAS ASCII'!$B$2:$E$210,4)&lt;=0,"……………….","*"))</f>
        <v>12443.432</v>
      </c>
      <c r="M71" s="16"/>
      <c r="N71" t="s">
        <v>543</v>
      </c>
      <c r="O71" s="212"/>
    </row>
    <row r="72" spans="3:15" ht="15.75" customHeight="1">
      <c r="C72" s="5" t="s">
        <v>1012</v>
      </c>
      <c r="H72" s="277">
        <f>IF(VLOOKUP(GAS!N72,'GAS ASCII'!$B$2:$C$210,2)&gt;=500000,VLOOKUP(GAS!N72,'GAS ASCII'!$B$2:$C$210,2)/1000000,IF(VLOOKUP(GAS!N72,'GAS ASCII'!$B$2:$C$210,2)&lt;=0,"……………….","*"))</f>
        <v>29174.449</v>
      </c>
      <c r="I72" s="16"/>
      <c r="J72" s="277">
        <f>IF(VLOOKUP(GAS!N72,'GAS ASCII'!$B$2:$D$210,3)&gt;=500000,VLOOKUP(GAS!N72,'GAS ASCII'!$B$2:$D$210,3)/-1000000,IF(VLOOKUP(GAS!N72,'GAS ASCII'!$B$2:$D$210,3)&lt;=0,0,"*"))</f>
        <v>0</v>
      </c>
      <c r="K72" s="21"/>
      <c r="L72" s="277">
        <f>IF(VLOOKUP(GAS!N72,'GAS ASCII'!$B$2:$E$210,4)&gt;=500000,VLOOKUP(GAS!N72,'GAS ASCII'!$B$2:$E$210,4)/1000000,IF(VLOOKUP(GAS!N72,'GAS ASCII'!$B$2:$E$210,4)&lt;=0,"……………….","*"))</f>
        <v>29174.449</v>
      </c>
      <c r="M72" s="16"/>
      <c r="N72" t="s">
        <v>545</v>
      </c>
      <c r="O72" s="212"/>
    </row>
    <row r="73" spans="3:15" ht="15.75" customHeight="1">
      <c r="C73" s="5" t="s">
        <v>786</v>
      </c>
      <c r="H73" s="277">
        <f>IF(VLOOKUP(GAS!N73,'GAS ASCII'!$B$2:$C$210,2)&gt;=500000,VLOOKUP(GAS!N73,'GAS ASCII'!$B$2:$C$210,2)/1000000,IF(VLOOKUP(GAS!N73,'GAS ASCII'!$B$2:$C$210,2)&lt;=0,"……………….","*"))</f>
        <v>0.571</v>
      </c>
      <c r="I73" s="16"/>
      <c r="J73" s="277">
        <f>IF(VLOOKUP(GAS!N73,'GAS ASCII'!$B$2:$D$210,3)&gt;=500000,VLOOKUP(GAS!N73,'GAS ASCII'!$B$2:$D$210,3)/-1000000,IF(VLOOKUP(GAS!N73,'GAS ASCII'!$B$2:$D$210,3)&lt;=0,0,"*"))</f>
        <v>0</v>
      </c>
      <c r="K73" s="21"/>
      <c r="L73" s="277">
        <f>IF(VLOOKUP(GAS!N73,'GAS ASCII'!$B$2:$E$210,4)&gt;=500000,VLOOKUP(GAS!N73,'GAS ASCII'!$B$2:$E$210,4)/1000000,IF(VLOOKUP(GAS!N73,'GAS ASCII'!$B$2:$E$210,4)&lt;=0,"……………….","*"))</f>
        <v>0.571</v>
      </c>
      <c r="M73" s="16"/>
      <c r="N73" t="s">
        <v>547</v>
      </c>
      <c r="O73" s="212"/>
    </row>
    <row r="74" spans="3:15" ht="15.75" customHeight="1">
      <c r="C74" s="5" t="s">
        <v>74</v>
      </c>
      <c r="H74" s="277">
        <f>IF(VLOOKUP(GAS!N74,'GAS ASCII'!$B$2:$C$210,2)&gt;=500000,VLOOKUP(GAS!N74,'GAS ASCII'!$B$2:$C$210,2)/1000000,IF(VLOOKUP(GAS!N74,'GAS ASCII'!$B$2:$C$210,2)&lt;=0,"……………….","*"))</f>
        <v>0.502</v>
      </c>
      <c r="I74" s="16"/>
      <c r="J74" s="277">
        <f>IF(VLOOKUP(GAS!N74,'GAS ASCII'!$B$2:$D$210,3)&gt;=500000,VLOOKUP(GAS!N74,'GAS ASCII'!$B$2:$D$210,3)/-1000000,IF(VLOOKUP(GAS!N74,'GAS ASCII'!$B$2:$D$210,3)&lt;=0,0,"*"))</f>
        <v>0</v>
      </c>
      <c r="K74" s="21"/>
      <c r="L74" s="277">
        <f>IF(VLOOKUP(GAS!N74,'GAS ASCII'!$B$2:$E$210,4)&gt;=500000,VLOOKUP(GAS!N74,'GAS ASCII'!$B$2:$E$210,4)/1000000,IF(VLOOKUP(GAS!N74,'GAS ASCII'!$B$2:$E$210,4)&lt;=0,"……………….","*"))</f>
        <v>0.502</v>
      </c>
      <c r="M74" s="16"/>
      <c r="N74" t="s">
        <v>685</v>
      </c>
      <c r="O74" s="212"/>
    </row>
    <row r="75" spans="3:15" ht="15.75" customHeight="1">
      <c r="C75" s="5" t="s">
        <v>539</v>
      </c>
      <c r="H75" s="277">
        <f>IF(VLOOKUP(GAS!N75,'GAS ASCII'!$B$2:$C$210,2)&gt;=500000,VLOOKUP(GAS!N75,'GAS ASCII'!$B$2:$C$210,2)/1000000,IF(VLOOKUP(GAS!N75,'GAS ASCII'!$B$2:$C$210,2)&lt;=0,"……………….","*"))</f>
        <v>994.172</v>
      </c>
      <c r="I75" s="16"/>
      <c r="J75" s="277">
        <f>IF(VLOOKUP(GAS!N75,'GAS ASCII'!$B$2:$D$210,3)&gt;=500000,VLOOKUP(GAS!N75,'GAS ASCII'!$B$2:$D$210,3)/-1000000,IF(VLOOKUP(GAS!N75,'GAS ASCII'!$B$2:$D$210,3)&lt;=0,0,"*"))</f>
        <v>0</v>
      </c>
      <c r="K75" s="21"/>
      <c r="L75" s="277">
        <f>IF(VLOOKUP(GAS!N75,'GAS ASCII'!$B$2:$E$210,4)&gt;=500000,VLOOKUP(GAS!N75,'GAS ASCII'!$B$2:$E$210,4)/1000000,IF(VLOOKUP(GAS!N75,'GAS ASCII'!$B$2:$E$210,4)&lt;=0,"……………….","*"))</f>
        <v>994.172</v>
      </c>
      <c r="M75" s="16"/>
      <c r="N75" t="s">
        <v>76</v>
      </c>
      <c r="O75" s="212"/>
    </row>
    <row r="76" spans="3:15" ht="15.75" customHeight="1">
      <c r="C76" s="5" t="s">
        <v>40</v>
      </c>
      <c r="H76" s="277" t="str">
        <f>IF(VLOOKUP(GAS!N76,'GAS ASCII'!$B$2:$C$210,2)&gt;=500000,VLOOKUP(GAS!N76,'GAS ASCII'!$B$2:$C$210,2)/1000000,IF(VLOOKUP(GAS!N76,'GAS ASCII'!$B$2:$C$210,2)&lt;=0,"……………….","*"))</f>
        <v>*</v>
      </c>
      <c r="I76" s="16"/>
      <c r="J76" s="277">
        <f>IF(VLOOKUP(GAS!N76,'GAS ASCII'!$B$2:$D$210,3)&gt;=500000,VLOOKUP(GAS!N76,'GAS ASCII'!$B$2:$D$210,3)/-1000000,IF(VLOOKUP(GAS!N76,'GAS ASCII'!$B$2:$D$210,3)&lt;=0,0,"*"))</f>
        <v>0</v>
      </c>
      <c r="K76" s="21"/>
      <c r="L76" s="277" t="str">
        <f>IF(VLOOKUP(GAS!N76,'GAS ASCII'!$B$2:$E$210,4)&gt;=500000,VLOOKUP(GAS!N76,'GAS ASCII'!$B$2:$E$210,4)/1000000,IF(VLOOKUP(GAS!N76,'GAS ASCII'!$B$2:$E$210,4)&lt;=0,"……………….","*"))</f>
        <v>*</v>
      </c>
      <c r="M76" s="16"/>
      <c r="N76" t="s">
        <v>315</v>
      </c>
      <c r="O76" s="212"/>
    </row>
    <row r="77" spans="3:15" ht="15.75" customHeight="1">
      <c r="C77" s="5" t="s">
        <v>575</v>
      </c>
      <c r="H77" s="277">
        <f>IF(VLOOKUP(GAS!N77,'GAS ASCII'!$B$2:$C$210,2)&gt;=500000,VLOOKUP(GAS!N77,'GAS ASCII'!$B$2:$C$210,2)/1000000,IF(VLOOKUP(GAS!N77,'GAS ASCII'!$B$2:$C$210,2)&lt;=0,"……………….","*"))</f>
        <v>12135.13149928</v>
      </c>
      <c r="I77" s="16"/>
      <c r="J77" s="277">
        <f>IF(VLOOKUP(GAS!N77,'GAS ASCII'!$B$2:$D$210,3)&gt;=500000,VLOOKUP(GAS!N77,'GAS ASCII'!$B$2:$D$210,3)/-1000000,IF(VLOOKUP(GAS!N77,'GAS ASCII'!$B$2:$D$210,3)&lt;=0,0,"*"))</f>
        <v>0</v>
      </c>
      <c r="K77" s="21"/>
      <c r="L77" s="277">
        <f>IF(VLOOKUP(GAS!N77,'GAS ASCII'!$B$2:$E$210,4)&gt;=500000,VLOOKUP(GAS!N77,'GAS ASCII'!$B$2:$E$210,4)/1000000,IF(VLOOKUP(GAS!N77,'GAS ASCII'!$B$2:$E$210,4)&lt;=0,"……………….","*"))</f>
        <v>12135.13149928</v>
      </c>
      <c r="M77" s="16"/>
      <c r="N77" t="s">
        <v>128</v>
      </c>
      <c r="O77" s="212"/>
    </row>
    <row r="78" spans="3:15" ht="15.75" customHeight="1">
      <c r="C78" s="5" t="s">
        <v>787</v>
      </c>
      <c r="H78" s="277">
        <f>IF(VLOOKUP(GAS!N78,'GAS ASCII'!$B$2:$C$210,2)&gt;=500000,VLOOKUP(GAS!N78,'GAS ASCII'!$B$2:$C$210,2)/1000000,IF(VLOOKUP(GAS!N78,'GAS ASCII'!$B$2:$C$210,2)&lt;=0,"……………….","*"))</f>
        <v>134.224</v>
      </c>
      <c r="I78" s="16"/>
      <c r="J78" s="277">
        <f>IF(VLOOKUP(GAS!N78,'GAS ASCII'!$B$2:$D$210,3)&gt;=500000,VLOOKUP(GAS!N78,'GAS ASCII'!$B$2:$D$210,3)/-1000000,IF(VLOOKUP(GAS!N78,'GAS ASCII'!$B$2:$D$210,3)&lt;=0,0,"*"))</f>
        <v>-12.669</v>
      </c>
      <c r="K78" s="21"/>
      <c r="L78" s="277">
        <f>IF(VLOOKUP(GAS!N78,'GAS ASCII'!$B$2:$E$210,4)&gt;=500000,VLOOKUP(GAS!N78,'GAS ASCII'!$B$2:$E$210,4)/1000000,IF(VLOOKUP(GAS!N78,'GAS ASCII'!$B$2:$E$210,4)&lt;=0,"……………….","*"))</f>
        <v>121.555</v>
      </c>
      <c r="M78" s="16"/>
      <c r="N78" t="s">
        <v>946</v>
      </c>
      <c r="O78" s="212"/>
    </row>
    <row r="79" spans="2:15" ht="18" customHeight="1">
      <c r="B79" s="62"/>
      <c r="C79" t="s">
        <v>182</v>
      </c>
      <c r="E79" s="34"/>
      <c r="H79" s="9"/>
      <c r="J79" s="9"/>
      <c r="L79" s="9"/>
      <c r="O79" s="212"/>
    </row>
    <row r="80" spans="2:15" ht="18" customHeight="1">
      <c r="B80" s="62"/>
      <c r="C80" t="s">
        <v>183</v>
      </c>
      <c r="E80" s="34"/>
      <c r="H80" s="277">
        <f>IF(VLOOKUP(GAS!N80,'GAS ASCII'!$B$2:$C$210,2)&gt;=500000,VLOOKUP(GAS!N80,'GAS ASCII'!$B$2:$C$210,2)/1000000,IF(VLOOKUP(GAS!N80,'GAS ASCII'!$B$2:$C$210,2)&lt;=0,"……………….","*"))</f>
        <v>4.060566</v>
      </c>
      <c r="J80" s="277">
        <f>IF(VLOOKUP(GAS!N80,'GAS ASCII'!$B$2:$D$210,3)&gt;=500000,VLOOKUP(GAS!N80,'GAS ASCII'!$B$2:$D$210,3)/-1000000,IF(VLOOKUP(GAS!N80,'GAS ASCII'!$B$2:$D$210,3)&lt;=0,0,"*"))</f>
        <v>0</v>
      </c>
      <c r="L80" s="277">
        <f>IF(VLOOKUP(GAS!N80,'GAS ASCII'!$B$2:$E$210,4)&gt;=500000,VLOOKUP(GAS!N80,'GAS ASCII'!$B$2:$E$210,4)/1000000,IF(VLOOKUP(GAS!N80,'GAS ASCII'!$B$2:$E$210,4)&lt;=0,"……………….","*"))</f>
        <v>4.060566</v>
      </c>
      <c r="N80" t="s">
        <v>177</v>
      </c>
      <c r="O80" s="212"/>
    </row>
    <row r="81" spans="3:15" ht="30.75" customHeight="1">
      <c r="C81" s="5" t="s">
        <v>274</v>
      </c>
      <c r="H81" s="277"/>
      <c r="I81" s="16"/>
      <c r="J81" s="277"/>
      <c r="K81" s="16"/>
      <c r="L81" s="277"/>
      <c r="M81" s="16"/>
      <c r="O81" s="212"/>
    </row>
    <row r="82" spans="3:15" ht="18" customHeight="1">
      <c r="C82" s="5" t="s">
        <v>738</v>
      </c>
      <c r="H82" s="277">
        <f>IF(VLOOKUP(GAS!N82,'GAS ASCII'!$B$2:$C$210,2)&gt;=500000,VLOOKUP(GAS!N82,'GAS ASCII'!$B$2:$C$210,2)/1000000,IF(VLOOKUP(GAS!N82,'GAS ASCII'!$B$2:$C$210,2)&lt;=0,"……………….","*"))</f>
        <v>1915.357</v>
      </c>
      <c r="I82" s="16"/>
      <c r="J82" s="277">
        <f>IF(VLOOKUP(GAS!N82,'GAS ASCII'!$B$2:$D$210,3)&gt;=500000,VLOOKUP(GAS!N82,'GAS ASCII'!$B$2:$D$210,3)/-1000000,IF(VLOOKUP(GAS!N82,'GAS ASCII'!$B$2:$D$210,3)&lt;=0,0,"*"))</f>
        <v>0</v>
      </c>
      <c r="K82" s="21"/>
      <c r="L82" s="277">
        <f>IF(VLOOKUP(GAS!N82,'GAS ASCII'!$B$2:$E$210,4)&gt;=500000,VLOOKUP(GAS!N82,'GAS ASCII'!$B$2:$E$210,4)/1000000,IF(VLOOKUP(GAS!N82,'GAS ASCII'!$B$2:$E$210,4)&lt;=0,"……………….","*"))</f>
        <v>1915.357</v>
      </c>
      <c r="M82" s="16"/>
      <c r="N82" t="s">
        <v>303</v>
      </c>
      <c r="O82" s="212"/>
    </row>
    <row r="83" spans="3:15" ht="18" customHeight="1">
      <c r="C83" s="5" t="s">
        <v>1051</v>
      </c>
      <c r="H83" s="277">
        <f>IF(VLOOKUP(GAS!N83,'GAS ASCII'!$B$2:$C$210,2)&gt;=500000,VLOOKUP(GAS!N83,'GAS ASCII'!$B$2:$C$210,2)/1000000,IF(VLOOKUP(GAS!N83,'GAS ASCII'!$B$2:$C$210,2)&lt;=0,"……………….","*"))</f>
        <v>473.421</v>
      </c>
      <c r="I83" s="16"/>
      <c r="J83" s="277">
        <f>IF(VLOOKUP(GAS!N83,'GAS ASCII'!$B$2:$D$210,3)&gt;=500000,VLOOKUP(GAS!N83,'GAS ASCII'!$B$2:$D$210,3)/-1000000,IF(VLOOKUP(GAS!N83,'GAS ASCII'!$B$2:$D$210,3)&lt;=0,0,"*"))</f>
        <v>0</v>
      </c>
      <c r="K83" s="21"/>
      <c r="L83" s="277">
        <f>IF(VLOOKUP(GAS!N83,'GAS ASCII'!$B$2:$E$210,4)&gt;=500000,VLOOKUP(GAS!N83,'GAS ASCII'!$B$2:$E$210,4)/1000000,IF(VLOOKUP(GAS!N83,'GAS ASCII'!$B$2:$E$210,4)&lt;=0,"……………….","*"))</f>
        <v>473.421</v>
      </c>
      <c r="M83" s="16"/>
      <c r="N83" t="s">
        <v>305</v>
      </c>
      <c r="O83" s="212"/>
    </row>
    <row r="84" spans="3:15" ht="15.75" customHeight="1">
      <c r="C84" s="5" t="s">
        <v>1052</v>
      </c>
      <c r="H84" s="277">
        <f>IF(VLOOKUP(GAS!N84,'GAS ASCII'!$B$2:$C$210,2)&gt;=500000,VLOOKUP(GAS!N84,'GAS ASCII'!$B$2:$C$210,2)/1000000,IF(VLOOKUP(GAS!N84,'GAS ASCII'!$B$2:$C$210,2)&lt;=0,"……………….","*"))</f>
        <v>197859.329</v>
      </c>
      <c r="I84" s="16"/>
      <c r="J84" s="277">
        <f>IF(VLOOKUP(GAS!N84,'GAS ASCII'!$B$2:$D$210,3)&gt;=500000,VLOOKUP(GAS!N84,'GAS ASCII'!$B$2:$D$210,3)/-1000000,IF(VLOOKUP(GAS!N84,'GAS ASCII'!$B$2:$D$210,3)&lt;=0,0,"*"))</f>
        <v>-4615.266</v>
      </c>
      <c r="K84" s="21"/>
      <c r="L84" s="277">
        <f>IF(VLOOKUP(GAS!N84,'GAS ASCII'!$B$2:$E$210,4)&gt;=500000,VLOOKUP(GAS!N84,'GAS ASCII'!$B$2:$E$210,4)/1000000,IF(VLOOKUP(GAS!N84,'GAS ASCII'!$B$2:$E$210,4)&lt;=0,"……………….","*"))</f>
        <v>193244.063</v>
      </c>
      <c r="M84" s="16"/>
      <c r="N84" t="s">
        <v>307</v>
      </c>
      <c r="O84" s="212"/>
    </row>
    <row r="85" spans="3:15" ht="15.75" customHeight="1">
      <c r="C85" s="5" t="s">
        <v>617</v>
      </c>
      <c r="H85" s="277">
        <f>IF(VLOOKUP(GAS!N85,'GAS ASCII'!$B$2:$C$210,2)&gt;=500000,VLOOKUP(GAS!N85,'GAS ASCII'!$B$2:$C$210,2)/1000000,IF(VLOOKUP(GAS!N85,'GAS ASCII'!$B$2:$C$210,2)&lt;=0,"……………….","*"))</f>
        <v>296803.319</v>
      </c>
      <c r="I85" s="16"/>
      <c r="J85" s="277">
        <f>IF(VLOOKUP(GAS!N85,'GAS ASCII'!$B$2:$D$210,3)&gt;=500000,VLOOKUP(GAS!N85,'GAS ASCII'!$B$2:$D$210,3)/-1000000,IF(VLOOKUP(GAS!N85,'GAS ASCII'!$B$2:$D$210,3)&lt;=0,0,"*"))</f>
        <v>-16867.551</v>
      </c>
      <c r="K85" s="21"/>
      <c r="L85" s="277">
        <f>IF(VLOOKUP(GAS!N85,'GAS ASCII'!$B$2:$E$210,4)&gt;=500000,VLOOKUP(GAS!N85,'GAS ASCII'!$B$2:$E$210,4)/1000000,IF(VLOOKUP(GAS!N85,'GAS ASCII'!$B$2:$E$210,4)&lt;=0,"……………….","*"))</f>
        <v>279935.768</v>
      </c>
      <c r="M85" s="16"/>
      <c r="N85" t="s">
        <v>309</v>
      </c>
      <c r="O85" s="212"/>
    </row>
    <row r="86" spans="3:15" ht="15.75" customHeight="1">
      <c r="C86" s="5" t="s">
        <v>598</v>
      </c>
      <c r="H86" s="277"/>
      <c r="I86" s="16"/>
      <c r="J86" s="277"/>
      <c r="K86" s="16"/>
      <c r="L86" s="277"/>
      <c r="M86" s="16"/>
      <c r="O86" s="212"/>
    </row>
    <row r="87" spans="3:15" ht="15.75" customHeight="1">
      <c r="C87" s="5" t="s">
        <v>599</v>
      </c>
      <c r="H87" s="277">
        <f>IF(VLOOKUP(GAS!N87,'GAS ASCII'!$B$2:$C$210,2)&gt;=500000,VLOOKUP(GAS!N87,'GAS ASCII'!$B$2:$C$210,2)/1000000,IF(VLOOKUP(GAS!N87,'GAS ASCII'!$B$2:$C$210,2)&lt;=0,"……………….","*"))</f>
        <v>35.835</v>
      </c>
      <c r="I87" s="16"/>
      <c r="J87" s="277">
        <f>IF(VLOOKUP(GAS!N87,'GAS ASCII'!$B$2:$D$210,3)&gt;=500000,VLOOKUP(GAS!N87,'GAS ASCII'!$B$2:$D$210,3)/-1000000,IF(VLOOKUP(GAS!N87,'GAS ASCII'!$B$2:$D$210,3)&lt;=0,0,"*"))</f>
        <v>0</v>
      </c>
      <c r="K87" s="21"/>
      <c r="L87" s="277">
        <f>IF(VLOOKUP(GAS!N87,'GAS ASCII'!$B$2:$E$210,4)&gt;=500000,VLOOKUP(GAS!N87,'GAS ASCII'!$B$2:$E$210,4)/1000000,IF(VLOOKUP(GAS!N87,'GAS ASCII'!$B$2:$E$210,4)&lt;=0,"……………….","*"))</f>
        <v>35.835</v>
      </c>
      <c r="M87" s="16"/>
      <c r="N87" t="s">
        <v>592</v>
      </c>
      <c r="O87" s="212"/>
    </row>
    <row r="88" spans="3:15" ht="15.75" customHeight="1">
      <c r="C88" s="5" t="s">
        <v>618</v>
      </c>
      <c r="H88" s="277"/>
      <c r="I88" s="16"/>
      <c r="J88" s="277"/>
      <c r="K88" s="16"/>
      <c r="L88" s="277"/>
      <c r="M88" s="16"/>
      <c r="O88" s="212"/>
    </row>
    <row r="89" spans="3:15" ht="15.75" customHeight="1">
      <c r="C89" s="5" t="s">
        <v>245</v>
      </c>
      <c r="H89" s="277">
        <f>IF(VLOOKUP(GAS!N89,'GAS ASCII'!$B$2:$C$210,2)&gt;=500000,VLOOKUP(GAS!N89,'GAS ASCII'!$B$2:$C$210,2)/1000000,IF(VLOOKUP(GAS!N89,'GAS ASCII'!$B$2:$C$210,2)&lt;=0,"……………….","*"))</f>
        <v>4.367</v>
      </c>
      <c r="I89" s="16"/>
      <c r="J89" s="277">
        <f>IF(VLOOKUP(GAS!N89,'GAS ASCII'!$B$2:$D$210,3)&gt;=500000,VLOOKUP(GAS!N89,'GAS ASCII'!$B$2:$D$210,3)/-1000000,IF(VLOOKUP(GAS!N89,'GAS ASCII'!$B$2:$D$210,3)&lt;=0,0,"*"))</f>
        <v>0</v>
      </c>
      <c r="K89" s="21"/>
      <c r="L89" s="277">
        <f>IF(VLOOKUP(GAS!N89,'GAS ASCII'!$B$2:$E$210,4)&gt;=500000,VLOOKUP(GAS!N89,'GAS ASCII'!$B$2:$E$210,4)/1000000,IF(VLOOKUP(GAS!N89,'GAS ASCII'!$B$2:$E$210,4)&lt;=0,"……………….","*"))</f>
        <v>4.367</v>
      </c>
      <c r="M89" s="16"/>
      <c r="N89" t="s">
        <v>311</v>
      </c>
      <c r="O89" s="212"/>
    </row>
    <row r="90" spans="3:15" ht="15.75" customHeight="1">
      <c r="C90" s="5" t="s">
        <v>600</v>
      </c>
      <c r="H90" s="277"/>
      <c r="I90" s="16"/>
      <c r="J90" s="277"/>
      <c r="K90" s="16"/>
      <c r="L90" s="277"/>
      <c r="M90" s="16"/>
      <c r="O90" s="212"/>
    </row>
    <row r="91" spans="3:15" ht="15.75" customHeight="1">
      <c r="C91" s="5" t="s">
        <v>599</v>
      </c>
      <c r="H91" s="277" t="str">
        <f>IF(VLOOKUP(GAS!N91,'GAS ASCII'!$B$2:$C$210,2)&gt;=500000,VLOOKUP(GAS!N91,'GAS ASCII'!$B$2:$C$210,2)/1000000,IF(VLOOKUP(GAS!N91,'GAS ASCII'!$B$2:$C$210,2)&lt;=0,"……………….","*"))</f>
        <v>*</v>
      </c>
      <c r="I91" s="16"/>
      <c r="J91" s="277">
        <f>IF(VLOOKUP(GAS!N91,'GAS ASCII'!$B$2:$D$210,3)&gt;=500000,VLOOKUP(GAS!N91,'GAS ASCII'!$B$2:$D$210,3)/-1000000,IF(VLOOKUP(GAS!N91,'GAS ASCII'!$B$2:$D$210,3)&lt;=0,0,"*"))</f>
        <v>0</v>
      </c>
      <c r="K91" s="21"/>
      <c r="L91" s="277" t="str">
        <f>IF(VLOOKUP(GAS!N91,'GAS ASCII'!$B$2:$E$210,4)&gt;=500000,VLOOKUP(GAS!N91,'GAS ASCII'!$B$2:$E$210,4)/1000000,IF(VLOOKUP(GAS!N91,'GAS ASCII'!$B$2:$E$210,4)&lt;=0,"……………….","*"))</f>
        <v>*</v>
      </c>
      <c r="M91" s="16"/>
      <c r="N91" t="s">
        <v>594</v>
      </c>
      <c r="O91" s="212"/>
    </row>
    <row r="92" spans="3:15" ht="15.75" customHeight="1">
      <c r="C92" s="5" t="s">
        <v>1065</v>
      </c>
      <c r="H92" s="277">
        <f>IF(VLOOKUP(GAS!N92,'GAS ASCII'!$B$2:$C$210,2)&gt;=500000,VLOOKUP(GAS!N92,'GAS ASCII'!$B$2:$C$210,2)/1000000,IF(VLOOKUP(GAS!N92,'GAS ASCII'!$B$2:$C$210,2)&lt;=0,"……………….","*"))</f>
        <v>23069.893</v>
      </c>
      <c r="I92" s="16"/>
      <c r="J92" s="277">
        <f>IF(VLOOKUP(GAS!N92,'GAS ASCII'!$B$2:$D$210,3)&gt;=500000,VLOOKUP(GAS!N92,'GAS ASCII'!$B$2:$D$210,3)/-1000000,IF(VLOOKUP(GAS!N92,'GAS ASCII'!$B$2:$D$210,3)&lt;=0,0,"*"))</f>
        <v>-237.891</v>
      </c>
      <c r="K92" s="21"/>
      <c r="L92" s="277">
        <f>IF(VLOOKUP(GAS!N92,'GAS ASCII'!$B$2:$E$210,4)&gt;=500000,VLOOKUP(GAS!N92,'GAS ASCII'!$B$2:$E$210,4)/1000000,IF(VLOOKUP(GAS!N92,'GAS ASCII'!$B$2:$E$210,4)&lt;=0,"……………….","*"))</f>
        <v>22832.002</v>
      </c>
      <c r="M92" s="16"/>
      <c r="N92" t="s">
        <v>312</v>
      </c>
      <c r="O92" s="212"/>
    </row>
    <row r="93" spans="3:15" ht="15.75" customHeight="1">
      <c r="C93" s="5" t="s">
        <v>1013</v>
      </c>
      <c r="D93" s="5"/>
      <c r="H93" s="277">
        <f>IF(VLOOKUP(GAS!N93,'GAS ASCII'!$B$2:$C$210,2)&gt;=500000,VLOOKUP(GAS!N93,'GAS ASCII'!$B$2:$C$210,2)/1000000,IF(VLOOKUP(GAS!N93,'GAS ASCII'!$B$2:$C$210,2)&lt;=0,"……………….","*"))</f>
        <v>1620860.249</v>
      </c>
      <c r="I93" s="16"/>
      <c r="J93" s="277">
        <f>IF(VLOOKUP(GAS!N93,'GAS ASCII'!$B$2:$D$210,3)&gt;=500000,VLOOKUP(GAS!N93,'GAS ASCII'!$B$2:$D$210,3)/-1000000,IF(VLOOKUP(GAS!N93,'GAS ASCII'!$B$2:$D$210,3)&lt;=0,0,"*"))</f>
        <v>-16147.512</v>
      </c>
      <c r="K93" s="21"/>
      <c r="L93" s="277">
        <f>IF(VLOOKUP(GAS!N93,'GAS ASCII'!$B$2:$E$210,4)&gt;=500000,VLOOKUP(GAS!N93,'GAS ASCII'!$B$2:$E$210,4)/1000000,IF(VLOOKUP(GAS!N93,'GAS ASCII'!$B$2:$E$210,4)&lt;=0,"……………….","*"))</f>
        <v>1604712.737</v>
      </c>
      <c r="M93" s="16"/>
      <c r="N93" t="s">
        <v>136</v>
      </c>
      <c r="O93" s="212"/>
    </row>
    <row r="94" spans="3:15" ht="15.75" customHeight="1">
      <c r="C94" s="5" t="s">
        <v>235</v>
      </c>
      <c r="H94" s="277">
        <f>IF(VLOOKUP(GAS!N94,'GAS ASCII'!$B$2:$C$210,2)&gt;=500000,VLOOKUP(GAS!N94,'GAS ASCII'!$B$2:$C$210,2)/1000000,IF(VLOOKUP(GAS!N94,'GAS ASCII'!$B$2:$C$210,2)&lt;=0,"……………….","*"))</f>
        <v>41193.434</v>
      </c>
      <c r="I94" s="16"/>
      <c r="J94" s="277">
        <f>IF(VLOOKUP(GAS!N94,'GAS ASCII'!$B$2:$D$210,3)&gt;=500000,VLOOKUP(GAS!N94,'GAS ASCII'!$B$2:$D$210,3)/-1000000,IF(VLOOKUP(GAS!N94,'GAS ASCII'!$B$2:$D$210,3)&lt;=0,0,"*"))</f>
        <v>-15426.488</v>
      </c>
      <c r="K94" s="16"/>
      <c r="L94" s="277">
        <f>IF(VLOOKUP(GAS!N94,'GAS ASCII'!$B$2:$E$210,4)&gt;=500000,VLOOKUP(GAS!N94,'GAS ASCII'!$B$2:$E$210,4)/1000000,IF(VLOOKUP(GAS!N94,'GAS ASCII'!$B$2:$E$210,4)&lt;=0,"……………….","*"))</f>
        <v>25766.946</v>
      </c>
      <c r="M94" s="16"/>
      <c r="N94" t="s">
        <v>138</v>
      </c>
      <c r="O94" s="212"/>
    </row>
    <row r="95" spans="3:15" ht="15.75" customHeight="1">
      <c r="C95" s="5" t="s">
        <v>110</v>
      </c>
      <c r="H95" s="277">
        <f>IF(VLOOKUP(GAS!N95,'GAS ASCII'!$B$2:$C$210,2)&gt;=500000,VLOOKUP(GAS!N95,'GAS ASCII'!$B$2:$C$210,2)/1000000,IF(VLOOKUP(GAS!N95,'GAS ASCII'!$B$2:$C$210,2)&lt;=0,"……………….","*"))</f>
        <v>0.905</v>
      </c>
      <c r="I95" s="16"/>
      <c r="J95" s="277">
        <f>IF(VLOOKUP(GAS!N95,'GAS ASCII'!$B$2:$D$210,3)&gt;=500000,VLOOKUP(GAS!N95,'GAS ASCII'!$B$2:$D$210,3)/-1000000,IF(VLOOKUP(GAS!N95,'GAS ASCII'!$B$2:$D$210,3)&lt;=0,0,"*"))</f>
        <v>0</v>
      </c>
      <c r="K95" s="16"/>
      <c r="L95" s="277">
        <f>IF(VLOOKUP(GAS!N95,'GAS ASCII'!$B$2:$E$210,4)&gt;=500000,VLOOKUP(GAS!N95,'GAS ASCII'!$B$2:$E$210,4)/1000000,IF(VLOOKUP(GAS!N95,'GAS ASCII'!$B$2:$E$210,4)&lt;=0,"……………….","*"))</f>
        <v>0.905</v>
      </c>
      <c r="M95" s="16"/>
      <c r="N95" t="s">
        <v>105</v>
      </c>
      <c r="O95" s="212"/>
    </row>
    <row r="96" spans="3:15" ht="15.75" customHeight="1">
      <c r="C96" s="5" t="s">
        <v>111</v>
      </c>
      <c r="H96" s="277">
        <f>IF(VLOOKUP(GAS!N96,'GAS ASCII'!$B$2:$C$210,2)&gt;=500000,VLOOKUP(GAS!N96,'GAS ASCII'!$B$2:$C$210,2)/1000000,IF(VLOOKUP(GAS!N96,'GAS ASCII'!$B$2:$C$210,2)&lt;=0,"……………….","*"))</f>
        <v>1.509</v>
      </c>
      <c r="I96" s="16"/>
      <c r="J96" s="277">
        <f>IF(VLOOKUP(GAS!N96,'GAS ASCII'!$B$2:$D$210,3)&gt;=500000,VLOOKUP(GAS!N96,'GAS ASCII'!$B$2:$D$210,3)/-1000000,IF(VLOOKUP(GAS!N96,'GAS ASCII'!$B$2:$D$210,3)&lt;=0,0,"*"))</f>
        <v>0</v>
      </c>
      <c r="K96" s="16"/>
      <c r="L96" s="277">
        <f>IF(VLOOKUP(GAS!N96,'GAS ASCII'!$B$2:$E$210,4)&gt;=500000,VLOOKUP(GAS!N96,'GAS ASCII'!$B$2:$E$210,4)/1000000,IF(VLOOKUP(GAS!N96,'GAS ASCII'!$B$2:$E$210,4)&lt;=0,"……………….","*"))</f>
        <v>1.509</v>
      </c>
      <c r="M96" s="16"/>
      <c r="N96" t="s">
        <v>107</v>
      </c>
      <c r="O96" s="212"/>
    </row>
    <row r="97" spans="3:15" ht="15.75" customHeight="1">
      <c r="C97" s="5" t="s">
        <v>246</v>
      </c>
      <c r="H97" s="277">
        <f>IF(VLOOKUP(GAS!N97,'GAS ASCII'!$B$2:$C$210,2)&gt;=500000,VLOOKUP(GAS!N97,'GAS ASCII'!$B$2:$C$210,2)/1000000,IF(VLOOKUP(GAS!N97,'GAS ASCII'!$B$2:$C$210,2)&lt;=0,"……………….","*"))</f>
        <v>13403.664</v>
      </c>
      <c r="I97" s="16"/>
      <c r="J97" s="277">
        <f>IF(VLOOKUP(GAS!N97,'GAS ASCII'!$B$2:$D$210,3)&gt;=500000,VLOOKUP(GAS!N97,'GAS ASCII'!$B$2:$D$210,3)/-1000000,IF(VLOOKUP(GAS!N97,'GAS ASCII'!$B$2:$D$210,3)&lt;=0,0,"*"))</f>
        <v>-19.253</v>
      </c>
      <c r="K97" s="131"/>
      <c r="L97" s="277">
        <f>IF(VLOOKUP(GAS!N97,'GAS ASCII'!$B$2:$E$210,4)&gt;=500000,VLOOKUP(GAS!N97,'GAS ASCII'!$B$2:$E$210,4)/1000000,IF(VLOOKUP(GAS!N97,'GAS ASCII'!$B$2:$E$210,4)&lt;=0,"……………….","*"))</f>
        <v>13384.411</v>
      </c>
      <c r="M97" s="16"/>
      <c r="N97" t="s">
        <v>140</v>
      </c>
      <c r="O97" s="212"/>
    </row>
    <row r="98" spans="3:15" ht="15.75" customHeight="1">
      <c r="C98" s="5" t="s">
        <v>289</v>
      </c>
      <c r="H98" s="277">
        <f>IF(VLOOKUP(GAS!N98,'GAS ASCII'!$B$2:$C$210,2)&gt;=500000,VLOOKUP(GAS!N98,'GAS ASCII'!$B$2:$C$210,2)/1000000,IF(VLOOKUP(GAS!N98,'GAS ASCII'!$B$2:$C$210,2)&lt;=0,"……………….","*"))</f>
        <v>3090.768</v>
      </c>
      <c r="I98" s="16"/>
      <c r="J98" s="277">
        <f>IF(VLOOKUP(GAS!N98,'GAS ASCII'!$B$2:$D$210,3)&gt;=500000,VLOOKUP(GAS!N98,'GAS ASCII'!$B$2:$D$210,3)/-1000000,IF(VLOOKUP(GAS!N98,'GAS ASCII'!$B$2:$D$210,3)&lt;=0,0,"*"))</f>
        <v>0</v>
      </c>
      <c r="K98" s="21"/>
      <c r="L98" s="277">
        <f>IF(VLOOKUP(GAS!N98,'GAS ASCII'!$B$2:$E$210,4)&gt;=500000,VLOOKUP(GAS!N98,'GAS ASCII'!$B$2:$E$210,4)/1000000,IF(VLOOKUP(GAS!N98,'GAS ASCII'!$B$2:$E$210,4)&lt;=0,"……………….","*"))</f>
        <v>3090.768</v>
      </c>
      <c r="M98" s="16"/>
      <c r="N98" t="s">
        <v>142</v>
      </c>
      <c r="O98" s="212"/>
    </row>
    <row r="99" spans="3:15" ht="30.75" customHeight="1">
      <c r="C99" s="5" t="s">
        <v>626</v>
      </c>
      <c r="H99" s="277">
        <f>IF(VLOOKUP(GAS!N99,'GAS ASCII'!$B$2:$C$210,2)&gt;=500000,VLOOKUP(GAS!N99,'GAS ASCII'!$B$2:$C$210,2)/1000000,IF(VLOOKUP(GAS!N99,'GAS ASCII'!$B$2:$C$210,2)&lt;=0,"……………….","*"))</f>
        <v>64.445</v>
      </c>
      <c r="I99" s="16"/>
      <c r="J99" s="277">
        <f>IF(VLOOKUP(GAS!N99,'GAS ASCII'!$B$2:$D$210,3)&gt;=500000,VLOOKUP(GAS!N99,'GAS ASCII'!$B$2:$D$210,3)/-1000000,IF(VLOOKUP(GAS!N99,'GAS ASCII'!$B$2:$D$210,3)&lt;=0,0,"*"))</f>
        <v>0</v>
      </c>
      <c r="K99" s="21"/>
      <c r="L99" s="277">
        <f>IF(VLOOKUP(GAS!N99,'GAS ASCII'!$B$2:$E$210,4)&gt;=500000,VLOOKUP(GAS!N99,'GAS ASCII'!$B$2:$E$210,4)/1000000,IF(VLOOKUP(GAS!N99,'GAS ASCII'!$B$2:$E$210,4)&lt;=0,"……………….","*"))</f>
        <v>64.445</v>
      </c>
      <c r="M99" s="16"/>
      <c r="N99" t="s">
        <v>714</v>
      </c>
      <c r="O99" s="212"/>
    </row>
    <row r="100" spans="3:15" ht="15.75" customHeight="1">
      <c r="C100" s="5" t="s">
        <v>611</v>
      </c>
      <c r="H100" s="277">
        <f>IF(VLOOKUP(GAS!N100,'GAS ASCII'!$B$2:$C$210,2)&gt;=500000,VLOOKUP(GAS!N100,'GAS ASCII'!$B$2:$C$210,2)/1000000,IF(VLOOKUP(GAS!N100,'GAS ASCII'!$B$2:$C$210,2)&lt;=0,"……………….","*"))</f>
        <v>4.625</v>
      </c>
      <c r="I100" s="16"/>
      <c r="J100" s="277">
        <f>IF(VLOOKUP(GAS!N100,'GAS ASCII'!$B$2:$D$210,3)&gt;=500000,VLOOKUP(GAS!N100,'GAS ASCII'!$B$2:$D$210,3)/-1000000,IF(VLOOKUP(GAS!N100,'GAS ASCII'!$B$2:$D$210,3)&lt;=0,0,"*"))</f>
        <v>0</v>
      </c>
      <c r="K100" s="21"/>
      <c r="L100" s="277">
        <f>IF(VLOOKUP(GAS!N100,'GAS ASCII'!$B$2:$E$210,4)&gt;=500000,VLOOKUP(GAS!N100,'GAS ASCII'!$B$2:$E$210,4)/1000000,IF(VLOOKUP(GAS!N100,'GAS ASCII'!$B$2:$E$210,4)&lt;=0,"……………….","*"))</f>
        <v>4.625</v>
      </c>
      <c r="M100" s="16"/>
      <c r="N100" t="s">
        <v>168</v>
      </c>
      <c r="O100" s="212"/>
    </row>
    <row r="101" spans="3:15" ht="15" customHeight="1">
      <c r="C101" s="5" t="s">
        <v>29</v>
      </c>
      <c r="H101" s="277" t="str">
        <f>IF(VLOOKUP(GAS!N101,'GAS ASCII'!$B$2:$C$210,2)&gt;=500000,VLOOKUP(GAS!N101,'GAS ASCII'!$B$2:$C$210,2)/1000000,IF(VLOOKUP(GAS!N101,'GAS ASCII'!$B$2:$C$210,2)&lt;=0,"……………….","*"))</f>
        <v>*</v>
      </c>
      <c r="I101" s="16"/>
      <c r="J101" s="277">
        <f>IF(VLOOKUP(GAS!N101,'GAS ASCII'!$B$2:$D$210,3)&gt;=500000,VLOOKUP(GAS!N101,'GAS ASCII'!$B$2:$D$210,3)/-1000000,IF(VLOOKUP(GAS!N101,'GAS ASCII'!$B$2:$D$210,3)&lt;=0,0,"*"))</f>
        <v>0</v>
      </c>
      <c r="K101" s="21"/>
      <c r="L101" s="277" t="str">
        <f>IF(VLOOKUP(GAS!N101,'GAS ASCII'!$B$2:$E$210,4)&gt;=500000,VLOOKUP(GAS!N101,'GAS ASCII'!$B$2:$E$210,4)/1000000,IF(VLOOKUP(GAS!N101,'GAS ASCII'!$B$2:$E$210,4)&lt;=0,"……………….","*"))</f>
        <v>*</v>
      </c>
      <c r="M101" s="16"/>
      <c r="N101" t="s">
        <v>170</v>
      </c>
      <c r="O101" s="212"/>
    </row>
    <row r="102" spans="3:15" ht="15.75" customHeight="1">
      <c r="C102" s="5" t="s">
        <v>756</v>
      </c>
      <c r="H102" s="277">
        <f>IF(VLOOKUP(GAS!N102,'GAS ASCII'!$B$2:$C$210,2)&gt;=500000,VLOOKUP(GAS!N102,'GAS ASCII'!$B$2:$C$210,2)/1000000,IF(VLOOKUP(GAS!N102,'GAS ASCII'!$B$2:$C$210,2)&lt;=0,"……………….","*"))</f>
        <v>0.83121776</v>
      </c>
      <c r="I102" s="16"/>
      <c r="J102" s="277">
        <f>IF(VLOOKUP(GAS!N102,'GAS ASCII'!$B$2:$D$210,3)&gt;=500000,VLOOKUP(GAS!N102,'GAS ASCII'!$B$2:$D$210,3)/-1000000,IF(VLOOKUP(GAS!N102,'GAS ASCII'!$B$2:$D$210,3)&lt;=0,0,"*"))</f>
        <v>0</v>
      </c>
      <c r="K102" s="2"/>
      <c r="L102" s="277">
        <f>IF(VLOOKUP(GAS!N102,'GAS ASCII'!$B$2:$E$210,4)&gt;=500000,VLOOKUP(GAS!N102,'GAS ASCII'!$B$2:$E$210,4)/1000000,IF(VLOOKUP(GAS!N102,'GAS ASCII'!$B$2:$E$210,4)&lt;=0,"……………….","*"))</f>
        <v>0.83121776</v>
      </c>
      <c r="M102" s="16"/>
      <c r="N102" t="s">
        <v>753</v>
      </c>
      <c r="O102" s="212"/>
    </row>
    <row r="103" spans="3:15" ht="15.75" customHeight="1">
      <c r="C103" s="5" t="s">
        <v>627</v>
      </c>
      <c r="H103" s="277">
        <f>IF(VLOOKUP(GAS!N103,'GAS ASCII'!$B$2:$C$210,2)&gt;=500000,VLOOKUP(GAS!N103,'GAS ASCII'!$B$2:$C$210,2)/1000000,IF(VLOOKUP(GAS!N103,'GAS ASCII'!$B$2:$C$210,2)&lt;=0,"……………….","*"))</f>
        <v>1.297</v>
      </c>
      <c r="I103" s="16"/>
      <c r="J103" s="277">
        <f>IF(VLOOKUP(GAS!N103,'GAS ASCII'!$B$2:$D$210,3)&gt;=500000,VLOOKUP(GAS!N103,'GAS ASCII'!$B$2:$D$210,3)/-1000000,IF(VLOOKUP(GAS!N103,'GAS ASCII'!$B$2:$D$210,3)&lt;=0,0,"*"))</f>
        <v>0</v>
      </c>
      <c r="K103" s="2"/>
      <c r="L103" s="277">
        <f>IF(VLOOKUP(GAS!N103,'GAS ASCII'!$B$2:$E$210,4)&gt;=500000,VLOOKUP(GAS!N103,'GAS ASCII'!$B$2:$E$210,4)/1000000,IF(VLOOKUP(GAS!N103,'GAS ASCII'!$B$2:$E$210,4)&lt;=0,"……………….","*"))</f>
        <v>1.297</v>
      </c>
      <c r="M103" s="16"/>
      <c r="N103" t="s">
        <v>746</v>
      </c>
      <c r="O103" s="212"/>
    </row>
    <row r="104" spans="3:15" ht="14.25" customHeight="1">
      <c r="C104" s="5" t="s">
        <v>73</v>
      </c>
      <c r="H104" s="277"/>
      <c r="I104" s="16"/>
      <c r="J104" s="277"/>
      <c r="K104" s="16"/>
      <c r="L104" s="277"/>
      <c r="M104" s="16"/>
      <c r="O104" s="212"/>
    </row>
    <row r="105" spans="3:15" ht="15.75" customHeight="1">
      <c r="C105" s="5" t="s">
        <v>603</v>
      </c>
      <c r="H105" s="277">
        <f>IF(VLOOKUP(GAS!N105,'GAS ASCII'!$B$2:$C$210,2)&gt;=500000,VLOOKUP(GAS!N105,'GAS ASCII'!$B$2:$C$210,2)/1000000,IF(VLOOKUP(GAS!N105,'GAS ASCII'!$B$2:$C$210,2)&lt;=0,"……………….","*"))</f>
        <v>7901.103</v>
      </c>
      <c r="I105" s="16"/>
      <c r="J105" s="277">
        <f>IF(VLOOKUP(GAS!N105,'GAS ASCII'!$B$2:$D$210,3)&gt;=500000,VLOOKUP(GAS!N105,'GAS ASCII'!$B$2:$D$210,3)/-1000000,IF(VLOOKUP(GAS!N105,'GAS ASCII'!$B$2:$D$210,3)&lt;=0,0,"*"))</f>
        <v>0</v>
      </c>
      <c r="K105" s="21"/>
      <c r="L105" s="277">
        <f>IF(VLOOKUP(GAS!N105,'GAS ASCII'!$B$2:$E$210,4)&gt;=500000,VLOOKUP(GAS!N105,'GAS ASCII'!$B$2:$E$210,4)/1000000,IF(VLOOKUP(GAS!N105,'GAS ASCII'!$B$2:$E$210,4)&lt;=0,"……………….","*"))</f>
        <v>7901.103</v>
      </c>
      <c r="M105" s="16"/>
      <c r="N105" t="s">
        <v>748</v>
      </c>
      <c r="O105" s="212"/>
    </row>
    <row r="106" spans="3:15" ht="30.75" customHeight="1">
      <c r="C106" s="5" t="s">
        <v>353</v>
      </c>
      <c r="H106" s="277">
        <f>IF(VLOOKUP(GAS!N106,'GAS ASCII'!$B$2:$C$210,2)&gt;=500000,VLOOKUP(GAS!N106,'GAS ASCII'!$B$2:$C$210,2)/1000000,IF(VLOOKUP(GAS!N106,'GAS ASCII'!$B$2:$C$210,2)&lt;=0,"……………….","*"))</f>
        <v>2547.239</v>
      </c>
      <c r="I106" s="16"/>
      <c r="J106" s="277">
        <f>IF(VLOOKUP(GAS!N106,'GAS ASCII'!$B$2:$D$210,3)&gt;=500000,VLOOKUP(GAS!N106,'GAS ASCII'!$B$2:$D$210,3)/-1000000,IF(VLOOKUP(GAS!N106,'GAS ASCII'!$B$2:$D$210,3)&lt;=0,0,"*"))</f>
        <v>0</v>
      </c>
      <c r="K106" s="21"/>
      <c r="L106" s="277">
        <f>IF(VLOOKUP(GAS!N106,'GAS ASCII'!$B$2:$E$210,4)&gt;=500000,VLOOKUP(GAS!N106,'GAS ASCII'!$B$2:$E$210,4)/1000000,IF(VLOOKUP(GAS!N106,'GAS ASCII'!$B$2:$E$210,4)&lt;=0,"……………….","*"))</f>
        <v>2547.239</v>
      </c>
      <c r="M106" s="16"/>
      <c r="N106" t="s">
        <v>750</v>
      </c>
      <c r="O106" s="212"/>
    </row>
    <row r="107" spans="3:15" ht="15.75" customHeight="1">
      <c r="C107" s="5" t="s">
        <v>619</v>
      </c>
      <c r="H107" s="277"/>
      <c r="I107" s="16"/>
      <c r="J107" s="277"/>
      <c r="K107" s="16"/>
      <c r="L107" s="277"/>
      <c r="M107" s="16"/>
      <c r="O107" s="212"/>
    </row>
    <row r="108" spans="3:15" ht="15.75" customHeight="1">
      <c r="C108" s="5" t="s">
        <v>604</v>
      </c>
      <c r="H108" s="277">
        <f>IF(VLOOKUP(GAS!N108,'GAS ASCII'!$B$2:$C$210,2)&gt;=500000,VLOOKUP(GAS!N108,'GAS ASCII'!$B$2:$C$210,2)/1000000,IF(VLOOKUP(GAS!N108,'GAS ASCII'!$B$2:$C$210,2)&lt;=0,"……………….","*"))</f>
        <v>54.759</v>
      </c>
      <c r="I108" s="16"/>
      <c r="J108" s="277">
        <f>IF(VLOOKUP(GAS!N108,'GAS ASCII'!$B$2:$D$210,3)&gt;=500000,VLOOKUP(GAS!N108,'GAS ASCII'!$B$2:$D$210,3)/-1000000,IF(VLOOKUP(GAS!N108,'GAS ASCII'!$B$2:$D$210,3)&lt;=0,0,"*"))</f>
        <v>0</v>
      </c>
      <c r="K108" s="16"/>
      <c r="L108" s="277">
        <f>IF(VLOOKUP(GAS!N108,'GAS ASCII'!$B$2:$E$210,4)&gt;=500000,VLOOKUP(GAS!N108,'GAS ASCII'!$B$2:$E$210,4)/1000000,IF(VLOOKUP(GAS!N108,'GAS ASCII'!$B$2:$E$210,4)&lt;=0,"……………….","*"))</f>
        <v>54.759</v>
      </c>
      <c r="M108" s="16"/>
      <c r="N108" t="s">
        <v>905</v>
      </c>
      <c r="O108" s="212"/>
    </row>
    <row r="109" spans="3:15" ht="15.75" customHeight="1">
      <c r="C109" s="5" t="s">
        <v>264</v>
      </c>
      <c r="H109" s="277">
        <f>IF(VLOOKUP(GAS!N109,'GAS ASCII'!$B$2:$C$210,2)&gt;=500000,VLOOKUP(GAS!N109,'GAS ASCII'!$B$2:$C$210,2)/1000000,IF(VLOOKUP(GAS!N109,'GAS ASCII'!$B$2:$C$210,2)&lt;=0,"……………….","*"))</f>
        <v>2290.233</v>
      </c>
      <c r="I109" s="16"/>
      <c r="J109" s="277">
        <f>IF(VLOOKUP(GAS!N109,'GAS ASCII'!$B$2:$D$210,3)&gt;=500000,VLOOKUP(GAS!N109,'GAS ASCII'!$B$2:$D$210,3)/-1000000,IF(VLOOKUP(GAS!N109,'GAS ASCII'!$B$2:$D$210,3)&lt;=0,0,"*"))</f>
        <v>0</v>
      </c>
      <c r="K109" s="21"/>
      <c r="L109" s="277">
        <f>IF(VLOOKUP(GAS!N109,'GAS ASCII'!$B$2:$E$210,4)&gt;=500000,VLOOKUP(GAS!N109,'GAS ASCII'!$B$2:$E$210,4)/1000000,IF(VLOOKUP(GAS!N109,'GAS ASCII'!$B$2:$E$210,4)&lt;=0,"……………….","*"))</f>
        <v>2290.233</v>
      </c>
      <c r="M109" s="16"/>
      <c r="N109" t="s">
        <v>906</v>
      </c>
      <c r="O109" s="212"/>
    </row>
    <row r="110" spans="3:15" ht="15.75" customHeight="1">
      <c r="C110" s="5" t="s">
        <v>917</v>
      </c>
      <c r="H110" s="277">
        <f>IF(VLOOKUP(GAS!N110,'GAS ASCII'!$B$2:$C$210,2)&gt;=500000,VLOOKUP(GAS!N110,'GAS ASCII'!$B$2:$C$210,2)/1000000,IF(VLOOKUP(GAS!N110,'GAS ASCII'!$B$2:$C$210,2)&lt;=0,"……………….","*"))</f>
        <v>14236.734</v>
      </c>
      <c r="I110" s="16"/>
      <c r="J110" s="277">
        <f>IF(VLOOKUP(GAS!N110,'GAS ASCII'!$B$2:$D$210,3)&gt;=500000,VLOOKUP(GAS!N110,'GAS ASCII'!$B$2:$D$210,3)/-1000000,IF(VLOOKUP(GAS!N110,'GAS ASCII'!$B$2:$D$210,3)&lt;=0,0,"*"))</f>
        <v>-3658.187</v>
      </c>
      <c r="K110" s="21"/>
      <c r="L110" s="277">
        <f>IF(VLOOKUP(GAS!N110,'GAS ASCII'!$B$2:$E$210,4)&gt;=500000,VLOOKUP(GAS!N110,'GAS ASCII'!$B$2:$E$210,4)/1000000,IF(VLOOKUP(GAS!N110,'GAS ASCII'!$B$2:$E$210,4)&lt;=0,"……………….","*"))</f>
        <v>10578.547</v>
      </c>
      <c r="M110" s="16"/>
      <c r="N110" t="s">
        <v>908</v>
      </c>
      <c r="O110" s="212"/>
    </row>
    <row r="111" spans="3:15" ht="15.75" customHeight="1">
      <c r="C111" s="5" t="s">
        <v>631</v>
      </c>
      <c r="H111" s="277">
        <f>IF(VLOOKUP(GAS!N111,'GAS ASCII'!$B$2:$C$210,2)&gt;=500000,VLOOKUP(GAS!N111,'GAS ASCII'!$B$2:$C$210,2)/1000000,IF(VLOOKUP(GAS!N111,'GAS ASCII'!$B$2:$C$210,2)&lt;=0,"……………….","*"))</f>
        <v>16.675686849999998</v>
      </c>
      <c r="I111" s="16"/>
      <c r="J111" s="277">
        <f>IF(VLOOKUP(GAS!N111,'GAS ASCII'!$B$2:$D$210,3)&gt;=500000,VLOOKUP(GAS!N111,'GAS ASCII'!$B$2:$D$210,3)/-1000000,IF(VLOOKUP(GAS!N111,'GAS ASCII'!$B$2:$D$210,3)&lt;=0,0,"*"))</f>
        <v>0</v>
      </c>
      <c r="K111" s="21"/>
      <c r="L111" s="277">
        <f>IF(VLOOKUP(GAS!N111,'GAS ASCII'!$B$2:$E$210,4)&gt;=500000,VLOOKUP(GAS!N111,'GAS ASCII'!$B$2:$E$210,4)/1000000,IF(VLOOKUP(GAS!N111,'GAS ASCII'!$B$2:$E$210,4)&lt;=0,"……………….","*"))</f>
        <v>16.675686849999998</v>
      </c>
      <c r="M111" s="16"/>
      <c r="N111" t="s">
        <v>60</v>
      </c>
      <c r="O111" s="212"/>
    </row>
    <row r="112" spans="3:15" ht="30.75" customHeight="1">
      <c r="C112" s="5" t="s">
        <v>145</v>
      </c>
      <c r="H112" s="277">
        <f>IF(VLOOKUP(GAS!N112,'GAS ASCII'!$B$2:$C$210,2)&gt;=500000,VLOOKUP(GAS!N112,'GAS ASCII'!$B$2:$C$210,2)/1000000,IF(VLOOKUP(GAS!N112,'GAS ASCII'!$B$2:$C$210,2)&lt;=0,"……………….","*"))</f>
        <v>341.961</v>
      </c>
      <c r="I112" s="16"/>
      <c r="J112" s="277">
        <f>IF(VLOOKUP(GAS!N112,'GAS ASCII'!$B$2:$D$210,3)&gt;=500000,VLOOKUP(GAS!N112,'GAS ASCII'!$B$2:$D$210,3)/-1000000,IF(VLOOKUP(GAS!N112,'GAS ASCII'!$B$2:$D$210,3)&lt;=0,0,"*"))</f>
        <v>0</v>
      </c>
      <c r="K112" s="21"/>
      <c r="L112" s="277">
        <f>IF(VLOOKUP(GAS!N112,'GAS ASCII'!$B$2:$E$210,4)&gt;=500000,VLOOKUP(GAS!N112,'GAS ASCII'!$B$2:$E$210,4)/1000000,IF(VLOOKUP(GAS!N112,'GAS ASCII'!$B$2:$E$210,4)&lt;=0,"……………….","*"))</f>
        <v>341.961</v>
      </c>
      <c r="M112" s="16"/>
      <c r="N112" t="s">
        <v>910</v>
      </c>
      <c r="O112" s="212"/>
    </row>
    <row r="113" spans="3:15" ht="15.75" customHeight="1">
      <c r="C113" s="5" t="s">
        <v>562</v>
      </c>
      <c r="H113" s="277">
        <f>IF(VLOOKUP(GAS!N113,'GAS ASCII'!$B$2:$C$210,2)&gt;=500000,VLOOKUP(GAS!N113,'GAS ASCII'!$B$2:$C$210,2)/1000000,IF(VLOOKUP(GAS!N113,'GAS ASCII'!$B$2:$C$210,2)&lt;=0,"……………….","*"))</f>
        <v>12.201</v>
      </c>
      <c r="I113" s="16"/>
      <c r="J113" s="277">
        <f>IF(VLOOKUP(GAS!N113,'GAS ASCII'!$B$2:$D$210,3)&gt;=500000,VLOOKUP(GAS!N113,'GAS ASCII'!$B$2:$D$210,3)/-1000000,IF(VLOOKUP(GAS!N113,'GAS ASCII'!$B$2:$D$210,3)&lt;=0,0,"*"))</f>
        <v>0</v>
      </c>
      <c r="K113" s="21"/>
      <c r="L113" s="277">
        <f>IF(VLOOKUP(GAS!N113,'GAS ASCII'!$B$2:$E$210,4)&gt;=500000,VLOOKUP(GAS!N113,'GAS ASCII'!$B$2:$E$210,4)/1000000,IF(VLOOKUP(GAS!N113,'GAS ASCII'!$B$2:$E$210,4)&lt;=0,"……………….","*"))</f>
        <v>12.201</v>
      </c>
      <c r="M113" s="16"/>
      <c r="N113" t="s">
        <v>21</v>
      </c>
      <c r="O113" s="212"/>
    </row>
    <row r="114" spans="3:15" ht="15.75" customHeight="1">
      <c r="C114" s="96" t="s">
        <v>1050</v>
      </c>
      <c r="H114" s="277" t="str">
        <f>IF(VLOOKUP(GAS!N114,'GAS ASCII'!$B$2:$C$210,2)&gt;=500000,VLOOKUP(GAS!N114,'GAS ASCII'!$B$2:$C$210,2)/1000000,IF(VLOOKUP(GAS!N114,'GAS ASCII'!$B$2:$C$210,2)&lt;=0,"……………….","*"))</f>
        <v>*</v>
      </c>
      <c r="I114" s="16"/>
      <c r="J114" s="277">
        <f>IF(VLOOKUP(GAS!N114,'GAS ASCII'!$B$2:$D$210,3)&gt;=500000,VLOOKUP(GAS!N114,'GAS ASCII'!$B$2:$D$210,3)/-1000000,IF(VLOOKUP(GAS!N114,'GAS ASCII'!$B$2:$D$210,3)&lt;=0,0,"*"))</f>
        <v>0</v>
      </c>
      <c r="K114" s="21"/>
      <c r="L114" s="277" t="str">
        <f>IF(VLOOKUP(GAS!N114,'GAS ASCII'!$B$2:$E$210,4)&gt;=500000,VLOOKUP(GAS!N114,'GAS ASCII'!$B$2:$E$210,4)/1000000,IF(VLOOKUP(GAS!N114,'GAS ASCII'!$B$2:$E$210,4)&lt;=0,"……………….","*"))</f>
        <v>*</v>
      </c>
      <c r="M114" s="16"/>
      <c r="N114" t="s">
        <v>549</v>
      </c>
      <c r="O114" s="212"/>
    </row>
    <row r="115" spans="3:15" ht="15.75" customHeight="1">
      <c r="C115" s="5" t="s">
        <v>119</v>
      </c>
      <c r="H115" s="277">
        <f>IF(VLOOKUP(GAS!N115,'GAS ASCII'!$B$2:$C$210,2)&gt;=500000,VLOOKUP(GAS!N115,'GAS ASCII'!$B$2:$C$210,2)/1000000,IF(VLOOKUP(GAS!N115,'GAS ASCII'!$B$2:$C$210,2)&lt;=0,"……………….","*"))</f>
        <v>5.019</v>
      </c>
      <c r="I115" s="16"/>
      <c r="J115" s="277">
        <f>IF(VLOOKUP(GAS!N115,'GAS ASCII'!$B$2:$D$210,3)&gt;=500000,VLOOKUP(GAS!N115,'GAS ASCII'!$B$2:$D$210,3)/-1000000,IF(VLOOKUP(GAS!N115,'GAS ASCII'!$B$2:$D$210,3)&lt;=0,0,"*"))</f>
        <v>0</v>
      </c>
      <c r="K115" s="2"/>
      <c r="L115" s="277">
        <f>IF(VLOOKUP(GAS!N115,'GAS ASCII'!$B$2:$E$210,4)&gt;=500000,VLOOKUP(GAS!N115,'GAS ASCII'!$B$2:$E$210,4)/1000000,IF(VLOOKUP(GAS!N115,'GAS ASCII'!$B$2:$E$210,4)&lt;=0,"……………….","*"))</f>
        <v>5.019</v>
      </c>
      <c r="M115" s="16"/>
      <c r="N115" t="s">
        <v>723</v>
      </c>
      <c r="O115" s="212"/>
    </row>
    <row r="116" spans="3:15" ht="30.75" customHeight="1">
      <c r="C116" s="5" t="s">
        <v>208</v>
      </c>
      <c r="H116" s="277">
        <f>IF(VLOOKUP(GAS!N116,'GAS ASCII'!$B$2:$C$210,2)&gt;=500000,VLOOKUP(GAS!N116,'GAS ASCII'!$B$2:$C$210,2)/1000000,IF(VLOOKUP(GAS!N116,'GAS ASCII'!$B$2:$C$210,2)&lt;=0,"……………….","*"))</f>
        <v>37.267</v>
      </c>
      <c r="I116" s="16"/>
      <c r="J116" s="277">
        <f>IF(VLOOKUP(GAS!N116,'GAS ASCII'!$B$2:$D$210,3)&gt;=500000,VLOOKUP(GAS!N116,'GAS ASCII'!$B$2:$D$210,3)/-1000000,IF(VLOOKUP(GAS!N116,'GAS ASCII'!$B$2:$D$210,3)&lt;=0,0,"*"))</f>
        <v>0</v>
      </c>
      <c r="K116" s="21"/>
      <c r="L116" s="277">
        <f>IF(VLOOKUP(GAS!N116,'GAS ASCII'!$B$2:$E$210,4)&gt;=500000,VLOOKUP(GAS!N116,'GAS ASCII'!$B$2:$E$210,4)/1000000,IF(VLOOKUP(GAS!N116,'GAS ASCII'!$B$2:$E$210,4)&lt;=0,"……………….","*"))</f>
        <v>37.267</v>
      </c>
      <c r="M116" s="16"/>
      <c r="N116" t="s">
        <v>443</v>
      </c>
      <c r="O116" s="212"/>
    </row>
    <row r="117" spans="3:15" ht="15.75" customHeight="1">
      <c r="C117" s="5" t="s">
        <v>209</v>
      </c>
      <c r="H117" s="277"/>
      <c r="I117" s="16"/>
      <c r="J117" s="277"/>
      <c r="K117" s="16"/>
      <c r="L117" s="277"/>
      <c r="M117" s="16"/>
      <c r="O117" s="212"/>
    </row>
    <row r="118" spans="3:15" ht="15.75" customHeight="1">
      <c r="C118" s="5" t="s">
        <v>186</v>
      </c>
      <c r="H118" s="277">
        <f>IF(VLOOKUP(GAS!N118,'GAS ASCII'!$B$2:$C$210,2)&gt;=500000,VLOOKUP(GAS!N118,'GAS ASCII'!$B$2:$C$210,2)/1000000,IF(VLOOKUP(GAS!N118,'GAS ASCII'!$B$2:$C$210,2)&lt;=0,"……………….","*"))</f>
        <v>39.185</v>
      </c>
      <c r="I118" s="16"/>
      <c r="J118" s="277" t="str">
        <f>IF(VLOOKUP(GAS!N118,'GAS ASCII'!$B$2:$D$210,3)&gt;=500000,VLOOKUP(GAS!N118,'GAS ASCII'!$B$2:$D$210,3)/-1000000,IF(VLOOKUP(GAS!N118,'GAS ASCII'!$B$2:$D$210,3)&lt;=0,0,"*"))</f>
        <v>*</v>
      </c>
      <c r="K118" s="2"/>
      <c r="L118" s="277">
        <f>IF(VLOOKUP(GAS!N118,'GAS ASCII'!$B$2:$E$210,4)&gt;=500000,VLOOKUP(GAS!N118,'GAS ASCII'!$B$2:$E$210,4)/1000000,IF(VLOOKUP(GAS!N118,'GAS ASCII'!$B$2:$E$210,4)&lt;=0,"……………….","*"))</f>
        <v>39.009</v>
      </c>
      <c r="M118" s="16"/>
      <c r="N118" t="s">
        <v>581</v>
      </c>
      <c r="O118" s="212"/>
    </row>
    <row r="119" spans="3:15" ht="15.75" customHeight="1">
      <c r="C119" s="5" t="s">
        <v>1070</v>
      </c>
      <c r="H119" s="277">
        <f>IF(VLOOKUP(GAS!N119,'GAS ASCII'!$B$2:$C$210,2)&gt;=500000,VLOOKUP(GAS!N119,'GAS ASCII'!$B$2:$C$210,2)/1000000,IF(VLOOKUP(GAS!N119,'GAS ASCII'!$B$2:$C$210,2)&lt;=0,"……………….","*"))</f>
        <v>11.409</v>
      </c>
      <c r="I119" s="16"/>
      <c r="J119" s="277" t="str">
        <f>IF(VLOOKUP(GAS!N119,'GAS ASCII'!$B$2:$D$210,3)&gt;=500000,VLOOKUP(GAS!N119,'GAS ASCII'!$B$2:$D$210,3)/-1000000,IF(VLOOKUP(GAS!N119,'GAS ASCII'!$B$2:$D$210,3)&lt;=0,0,"*"))</f>
        <v>*</v>
      </c>
      <c r="K119" s="2"/>
      <c r="L119" s="277">
        <f>IF(VLOOKUP(GAS!N119,'GAS ASCII'!$B$2:$E$210,4)&gt;=500000,VLOOKUP(GAS!N119,'GAS ASCII'!$B$2:$E$210,4)/1000000,IF(VLOOKUP(GAS!N119,'GAS ASCII'!$B$2:$E$210,4)&lt;=0,"……………….","*"))</f>
        <v>11.054</v>
      </c>
      <c r="M119" s="16"/>
      <c r="N119" t="s">
        <v>583</v>
      </c>
      <c r="O119" s="212"/>
    </row>
    <row r="120" spans="3:15" ht="15.75" customHeight="1">
      <c r="C120" s="5" t="s">
        <v>1048</v>
      </c>
      <c r="H120" s="277">
        <f>IF(VLOOKUP(GAS!N120,'GAS ASCII'!$B$2:$C$210,2)&gt;=500000,VLOOKUP(GAS!N120,'GAS ASCII'!$B$2:$C$210,2)/1000000,IF(VLOOKUP(GAS!N120,'GAS ASCII'!$B$2:$C$210,2)&lt;=0,"……………….","*"))</f>
        <v>201.022</v>
      </c>
      <c r="I120" s="16"/>
      <c r="J120" s="277">
        <f>IF(VLOOKUP(GAS!N120,'GAS ASCII'!$B$2:$D$210,3)&gt;=500000,VLOOKUP(GAS!N120,'GAS ASCII'!$B$2:$D$210,3)/-1000000,IF(VLOOKUP(GAS!N120,'GAS ASCII'!$B$2:$D$210,3)&lt;=0,0,"*"))</f>
        <v>0</v>
      </c>
      <c r="K120" s="21"/>
      <c r="L120" s="277">
        <f>IF(VLOOKUP(GAS!N120,'GAS ASCII'!$B$2:$E$210,4)&gt;=500000,VLOOKUP(GAS!N120,'GAS ASCII'!$B$2:$E$210,4)/1000000,IF(VLOOKUP(GAS!N120,'GAS ASCII'!$B$2:$E$210,4)&lt;=0,"……………….","*"))</f>
        <v>201.022</v>
      </c>
      <c r="M120" s="16"/>
      <c r="N120" t="s">
        <v>769</v>
      </c>
      <c r="O120" s="212"/>
    </row>
    <row r="121" spans="3:15" ht="15.75" customHeight="1">
      <c r="C121" s="5" t="s">
        <v>361</v>
      </c>
      <c r="H121" s="277">
        <f>IF(VLOOKUP(GAS!N121,'GAS ASCII'!$B$2:$C$210,2)&gt;=500000,VLOOKUP(GAS!N121,'GAS ASCII'!$B$2:$C$210,2)/1000000,IF(VLOOKUP(GAS!N121,'GAS ASCII'!$B$2:$C$210,2)&lt;=0,"……………….","*"))</f>
        <v>455.2</v>
      </c>
      <c r="I121" s="16"/>
      <c r="J121" s="277">
        <f>IF(VLOOKUP(GAS!N121,'GAS ASCII'!$B$2:$D$210,3)&gt;=500000,VLOOKUP(GAS!N121,'GAS ASCII'!$B$2:$D$210,3)/-1000000,IF(VLOOKUP(GAS!N121,'GAS ASCII'!$B$2:$D$210,3)&lt;=0,0,"*"))</f>
        <v>0</v>
      </c>
      <c r="K121" s="21"/>
      <c r="L121" s="277">
        <f>IF(VLOOKUP(GAS!N121,'GAS ASCII'!$B$2:$E$210,4)&gt;=500000,VLOOKUP(GAS!N121,'GAS ASCII'!$B$2:$E$210,4)/1000000,IF(VLOOKUP(GAS!N121,'GAS ASCII'!$B$2:$E$210,4)&lt;=0,"……………….","*"))</f>
        <v>455.2</v>
      </c>
      <c r="M121" s="16"/>
      <c r="N121" t="s">
        <v>771</v>
      </c>
      <c r="O121" s="212"/>
    </row>
    <row r="122" spans="3:15" ht="30.75" customHeight="1">
      <c r="C122" s="5" t="s">
        <v>362</v>
      </c>
      <c r="H122" s="277">
        <f>IF(VLOOKUP(GAS!N122,'GAS ASCII'!$B$2:$C$210,2)&gt;=500000,VLOOKUP(GAS!N122,'GAS ASCII'!$B$2:$C$210,2)/1000000,IF(VLOOKUP(GAS!N122,'GAS ASCII'!$B$2:$C$210,2)&lt;=0,"……………….","*"))</f>
        <v>7.492</v>
      </c>
      <c r="I122" s="16"/>
      <c r="J122" s="277" t="str">
        <f>IF(VLOOKUP(GAS!N122,'GAS ASCII'!$B$2:$D$210,3)&gt;=500000,VLOOKUP(GAS!N122,'GAS ASCII'!$B$2:$D$210,3)/-1000000,IF(VLOOKUP(GAS!N122,'GAS ASCII'!$B$2:$D$210,3)&lt;=0,0,"*"))</f>
        <v>*</v>
      </c>
      <c r="K122" s="21"/>
      <c r="L122" s="277">
        <f>IF(VLOOKUP(GAS!N122,'GAS ASCII'!$B$2:$E$210,4)&gt;=500000,VLOOKUP(GAS!N122,'GAS ASCII'!$B$2:$E$210,4)/1000000,IF(VLOOKUP(GAS!N122,'GAS ASCII'!$B$2:$E$210,4)&lt;=0,"……………….","*"))</f>
        <v>7.402</v>
      </c>
      <c r="M122" s="16"/>
      <c r="N122" t="s">
        <v>773</v>
      </c>
      <c r="O122" s="212"/>
    </row>
    <row r="123" spans="3:15" ht="30.75" customHeight="1">
      <c r="C123" s="5" t="s">
        <v>187</v>
      </c>
      <c r="H123" s="277">
        <f>IF(VLOOKUP(GAS!N123,'GAS ASCII'!$B$2:$C$210,2)&gt;=500000,VLOOKUP(GAS!N123,'GAS ASCII'!$B$2:$C$210,2)/1000000,IF(VLOOKUP(GAS!N123,'GAS ASCII'!$B$2:$C$210,2)&lt;=0,"……………….","*"))</f>
        <v>5.226</v>
      </c>
      <c r="I123" s="16"/>
      <c r="J123" s="277">
        <f>IF(VLOOKUP(GAS!N123,'GAS ASCII'!$B$2:$D$210,3)&gt;=500000,VLOOKUP(GAS!N123,'GAS ASCII'!$B$2:$D$210,3)/-1000000,IF(VLOOKUP(GAS!N123,'GAS ASCII'!$B$2:$D$210,3)&lt;=0,0,"*"))</f>
        <v>0</v>
      </c>
      <c r="K123" s="21"/>
      <c r="L123" s="277">
        <f>IF(VLOOKUP(GAS!N123,'GAS ASCII'!$B$2:$E$210,4)&gt;=500000,VLOOKUP(GAS!N123,'GAS ASCII'!$B$2:$E$210,4)/1000000,IF(VLOOKUP(GAS!N123,'GAS ASCII'!$B$2:$E$210,4)&lt;=0,"……………….","*"))</f>
        <v>5.226</v>
      </c>
      <c r="M123" s="16"/>
      <c r="N123" t="s">
        <v>775</v>
      </c>
      <c r="O123" s="212"/>
    </row>
    <row r="124" spans="3:15" ht="15.75" customHeight="1">
      <c r="C124" s="5" t="s">
        <v>197</v>
      </c>
      <c r="H124" s="277">
        <f>IF(VLOOKUP(GAS!N124,'GAS ASCII'!$B$2:$C$210,2)&gt;=500000,VLOOKUP(GAS!N124,'GAS ASCII'!$B$2:$C$210,2)/1000000,IF(VLOOKUP(GAS!N124,'GAS ASCII'!$B$2:$C$210,2)&lt;=0,"……………….","*"))</f>
        <v>2414.287</v>
      </c>
      <c r="I124" s="16"/>
      <c r="J124" s="277">
        <f>IF(VLOOKUP(GAS!N124,'GAS ASCII'!$B$2:$D$210,3)&gt;=500000,VLOOKUP(GAS!N124,'GAS ASCII'!$B$2:$D$210,3)/-1000000,IF(VLOOKUP(GAS!N124,'GAS ASCII'!$B$2:$D$210,3)&lt;=0,0,"*"))</f>
        <v>0</v>
      </c>
      <c r="K124" s="21"/>
      <c r="L124" s="277">
        <f>IF(VLOOKUP(GAS!N124,'GAS ASCII'!$B$2:$E$210,4)&gt;=500000,VLOOKUP(GAS!N124,'GAS ASCII'!$B$2:$E$210,4)/1000000,IF(VLOOKUP(GAS!N124,'GAS ASCII'!$B$2:$E$210,4)&lt;=0,"……………….","*"))</f>
        <v>2414.287</v>
      </c>
      <c r="M124" s="16"/>
      <c r="N124" t="s">
        <v>777</v>
      </c>
      <c r="O124" s="212"/>
    </row>
    <row r="125" spans="3:15" ht="15.75" customHeight="1">
      <c r="C125" s="5" t="s">
        <v>276</v>
      </c>
      <c r="H125" s="277">
        <f>IF(VLOOKUP(GAS!N125,'GAS ASCII'!$B$2:$C$210,2)&gt;=500000,VLOOKUP(GAS!N125,'GAS ASCII'!$B$2:$C$210,2)/1000000,IF(VLOOKUP(GAS!N125,'GAS ASCII'!$B$2:$C$210,2)&lt;=0,"……………….","*"))</f>
        <v>6.77</v>
      </c>
      <c r="I125" s="16"/>
      <c r="J125" s="277">
        <f>IF(VLOOKUP(GAS!N125,'GAS ASCII'!$B$2:$D$210,3)&gt;=500000,VLOOKUP(GAS!N125,'GAS ASCII'!$B$2:$D$210,3)/-1000000,IF(VLOOKUP(GAS!N125,'GAS ASCII'!$B$2:$D$210,3)&lt;=0,0,"*"))</f>
        <v>0</v>
      </c>
      <c r="K125" s="21"/>
      <c r="L125" s="277">
        <f>IF(VLOOKUP(GAS!N125,'GAS ASCII'!$B$2:$E$210,4)&gt;=500000,VLOOKUP(GAS!N125,'GAS ASCII'!$B$2:$E$210,4)/1000000,IF(VLOOKUP(GAS!N125,'GAS ASCII'!$B$2:$E$210,4)&lt;=0,"……………….","*"))</f>
        <v>6.77</v>
      </c>
      <c r="M125" s="16"/>
      <c r="N125" t="s">
        <v>779</v>
      </c>
      <c r="O125" s="212"/>
    </row>
    <row r="126" spans="3:15" ht="15.75" customHeight="1">
      <c r="C126" s="5" t="s">
        <v>222</v>
      </c>
      <c r="H126" s="277">
        <f>IF(VLOOKUP(GAS!N126,'GAS ASCII'!$B$2:$C$210,2)&gt;=500000,VLOOKUP(GAS!N126,'GAS ASCII'!$B$2:$C$210,2)/1000000,IF(VLOOKUP(GAS!N126,'GAS ASCII'!$B$2:$C$210,2)&lt;=0,"……………….","*"))</f>
        <v>36.27</v>
      </c>
      <c r="I126" s="16"/>
      <c r="J126" s="277">
        <f>IF(VLOOKUP(GAS!N126,'GAS ASCII'!$B$2:$D$210,3)&gt;=500000,VLOOKUP(GAS!N126,'GAS ASCII'!$B$2:$D$210,3)/-1000000,IF(VLOOKUP(GAS!N126,'GAS ASCII'!$B$2:$D$210,3)&lt;=0,0,"*"))</f>
        <v>0</v>
      </c>
      <c r="K126" s="21"/>
      <c r="L126" s="277">
        <f>IF(VLOOKUP(GAS!N126,'GAS ASCII'!$B$2:$E$210,4)&gt;=500000,VLOOKUP(GAS!N126,'GAS ASCII'!$B$2:$E$210,4)/1000000,IF(VLOOKUP(GAS!N126,'GAS ASCII'!$B$2:$E$210,4)&lt;=0,"……………….","*"))</f>
        <v>36.27</v>
      </c>
      <c r="M126" s="16"/>
      <c r="N126" t="s">
        <v>781</v>
      </c>
      <c r="O126" s="212"/>
    </row>
    <row r="127" spans="3:15" ht="15.75" customHeight="1">
      <c r="C127" s="5" t="s">
        <v>188</v>
      </c>
      <c r="H127" s="277">
        <f>IF(VLOOKUP(GAS!N127,'GAS ASCII'!$B$2:$C$210,2)&gt;=500000,VLOOKUP(GAS!N127,'GAS ASCII'!$B$2:$C$210,2)/1000000,IF(VLOOKUP(GAS!N127,'GAS ASCII'!$B$2:$C$210,2)&lt;=0,"……………….","*"))</f>
        <v>11.634</v>
      </c>
      <c r="I127" s="16"/>
      <c r="J127" s="277">
        <f>IF(VLOOKUP(GAS!N127,'GAS ASCII'!$B$2:$D$210,3)&gt;=500000,VLOOKUP(GAS!N127,'GAS ASCII'!$B$2:$D$210,3)/-1000000,IF(VLOOKUP(GAS!N127,'GAS ASCII'!$B$2:$D$210,3)&lt;=0,0,"*"))</f>
        <v>0</v>
      </c>
      <c r="K127" s="21"/>
      <c r="L127" s="277">
        <f>IF(VLOOKUP(GAS!N127,'GAS ASCII'!$B$2:$E$210,4)&gt;=500000,VLOOKUP(GAS!N127,'GAS ASCII'!$B$2:$E$210,4)/1000000,IF(VLOOKUP(GAS!N127,'GAS ASCII'!$B$2:$E$210,4)&lt;=0,"……………….","*"))</f>
        <v>11.634</v>
      </c>
      <c r="M127" s="16"/>
      <c r="N127" t="s">
        <v>783</v>
      </c>
      <c r="O127" s="212"/>
    </row>
    <row r="128" spans="3:15" ht="15.75" customHeight="1">
      <c r="C128" s="5" t="s">
        <v>44</v>
      </c>
      <c r="H128" s="277">
        <f>IF(VLOOKUP(GAS!N128,'GAS ASCII'!$B$2:$C$210,2)&gt;=500000,VLOOKUP(GAS!N128,'GAS ASCII'!$B$2:$C$210,2)/1000000,IF(VLOOKUP(GAS!N128,'GAS ASCII'!$B$2:$C$210,2)&lt;=0,"……………….","*"))</f>
        <v>9.928458189999999</v>
      </c>
      <c r="I128" s="16"/>
      <c r="J128" s="277" t="str">
        <f>IF(VLOOKUP(GAS!N128,'GAS ASCII'!$B$2:$D$210,3)&gt;=500000,VLOOKUP(GAS!N128,'GAS ASCII'!$B$2:$D$210,3)/-1000000,IF(VLOOKUP(GAS!N128,'GAS ASCII'!$B$2:$D$210,3)&lt;=0,0,"*"))</f>
        <v>*</v>
      </c>
      <c r="K128" s="21"/>
      <c r="L128" s="277">
        <f>IF(VLOOKUP(GAS!N128,'GAS ASCII'!$B$2:$E$210,4)&gt;=500000,VLOOKUP(GAS!N128,'GAS ASCII'!$B$2:$E$210,4)/1000000,IF(VLOOKUP(GAS!N128,'GAS ASCII'!$B$2:$E$210,4)&lt;=0,"……………….","*"))</f>
        <v>9.92800291</v>
      </c>
      <c r="M128" s="16"/>
      <c r="N128" t="s">
        <v>560</v>
      </c>
      <c r="O128" s="212"/>
    </row>
    <row r="129" spans="3:15" ht="30.75" customHeight="1">
      <c r="C129" s="5" t="s">
        <v>184</v>
      </c>
      <c r="H129" s="277">
        <f>IF(VLOOKUP(GAS!N129,'GAS ASCII'!$B$2:$C$210,2)&gt;=500000,VLOOKUP(GAS!N129,'GAS ASCII'!$B$2:$C$210,2)/1000000,IF(VLOOKUP(GAS!N129,'GAS ASCII'!$B$2:$C$210,2)&lt;=0,"……………….","*"))</f>
        <v>3.09131</v>
      </c>
      <c r="I129" s="16"/>
      <c r="J129" s="277">
        <f>IF(VLOOKUP(GAS!N129,'GAS ASCII'!$B$2:$D$210,3)&gt;=500000,VLOOKUP(GAS!N129,'GAS ASCII'!$B$2:$D$210,3)/-1000000,IF(VLOOKUP(GAS!N129,'GAS ASCII'!$B$2:$D$210,3)&lt;=0,0,"*"))</f>
        <v>0</v>
      </c>
      <c r="K129" s="21"/>
      <c r="L129" s="277">
        <f>IF(VLOOKUP(GAS!N129,'GAS ASCII'!$B$2:$E$210,4)&gt;=500000,VLOOKUP(GAS!N129,'GAS ASCII'!$B$2:$E$210,4)/1000000,IF(VLOOKUP(GAS!N129,'GAS ASCII'!$B$2:$E$210,4)&lt;=0,"……………….","*"))</f>
        <v>3.09131</v>
      </c>
      <c r="M129" s="16"/>
      <c r="N129" t="s">
        <v>179</v>
      </c>
      <c r="O129" s="212"/>
    </row>
    <row r="130" spans="3:15" ht="15.75" customHeight="1">
      <c r="C130" s="5" t="s">
        <v>130</v>
      </c>
      <c r="H130" s="277"/>
      <c r="I130" s="16"/>
      <c r="J130" s="277"/>
      <c r="K130" s="21"/>
      <c r="L130" s="277"/>
      <c r="M130" s="16"/>
      <c r="O130" s="212"/>
    </row>
    <row r="131" spans="3:15" ht="15.75" customHeight="1">
      <c r="C131" s="5" t="s">
        <v>602</v>
      </c>
      <c r="H131" s="277">
        <f>IF(VLOOKUP(GAS!N131,'GAS ASCII'!$B$2:$C$210,2)&gt;=500000,VLOOKUP(GAS!N131,'GAS ASCII'!$B$2:$C$210,2)/1000000,IF(VLOOKUP(GAS!N131,'GAS ASCII'!$B$2:$C$210,2)&lt;=0,"……………….","*"))</f>
        <v>28.166</v>
      </c>
      <c r="I131" s="16"/>
      <c r="J131" s="277">
        <f>IF(VLOOKUP(GAS!N131,'GAS ASCII'!$B$2:$D$210,3)&gt;=500000,VLOOKUP(GAS!N131,'GAS ASCII'!$B$2:$D$210,3)/-1000000,IF(VLOOKUP(GAS!N131,'GAS ASCII'!$B$2:$D$210,3)&lt;=0,0,"*"))</f>
        <v>0</v>
      </c>
      <c r="K131" s="21"/>
      <c r="L131" s="277">
        <f>IF(VLOOKUP(GAS!N131,'GAS ASCII'!$B$2:$E$210,4)&gt;=500000,VLOOKUP(GAS!N131,'GAS ASCII'!$B$2:$E$210,4)/1000000,IF(VLOOKUP(GAS!N131,'GAS ASCII'!$B$2:$E$210,4)&lt;=0,"……………….","*"))</f>
        <v>28.166</v>
      </c>
      <c r="M131" s="16"/>
      <c r="N131" t="s">
        <v>689</v>
      </c>
      <c r="O131" s="212"/>
    </row>
    <row r="132" spans="3:15" ht="30.75" customHeight="1">
      <c r="C132" s="5" t="s">
        <v>1014</v>
      </c>
      <c r="H132" s="277">
        <f>IF(VLOOKUP(GAS!N132,'GAS ASCII'!$B$2:$C$210,2)&gt;=500000,VLOOKUP(GAS!N132,'GAS ASCII'!$B$2:$C$210,2)/1000000,IF(VLOOKUP(GAS!N132,'GAS ASCII'!$B$2:$C$210,2)&lt;=0,"……………….","*"))</f>
        <v>12.089</v>
      </c>
      <c r="I132" s="16"/>
      <c r="J132" s="277">
        <f>IF(VLOOKUP(GAS!N132,'GAS ASCII'!$B$2:$D$210,3)&gt;=500000,VLOOKUP(GAS!N132,'GAS ASCII'!$B$2:$D$210,3)/-1000000,IF(VLOOKUP(GAS!N132,'GAS ASCII'!$B$2:$D$210,3)&lt;=0,0,"*"))</f>
        <v>0</v>
      </c>
      <c r="K132" s="21"/>
      <c r="L132" s="277">
        <f>IF(VLOOKUP(GAS!N132,'GAS ASCII'!$B$2:$E$210,4)&gt;=500000,VLOOKUP(GAS!N132,'GAS ASCII'!$B$2:$E$210,4)/1000000,IF(VLOOKUP(GAS!N132,'GAS ASCII'!$B$2:$E$210,4)&lt;=0,"……………….","*"))</f>
        <v>12.089</v>
      </c>
      <c r="M132" s="16"/>
      <c r="N132" t="s">
        <v>1098</v>
      </c>
      <c r="O132" s="212"/>
    </row>
    <row r="133" spans="3:15" ht="15.75" customHeight="1">
      <c r="C133" s="5" t="s">
        <v>279</v>
      </c>
      <c r="H133" s="277">
        <f>IF(VLOOKUP(GAS!N133,'GAS ASCII'!$B$2:$C$210,2)&gt;=500000,VLOOKUP(GAS!N133,'GAS ASCII'!$B$2:$C$210,2)/1000000,IF(VLOOKUP(GAS!N133,'GAS ASCII'!$B$2:$C$210,2)&lt;=0,"……………….","*"))</f>
        <v>6298.821</v>
      </c>
      <c r="I133" s="16"/>
      <c r="J133" s="277">
        <f>IF(VLOOKUP(GAS!N133,'GAS ASCII'!$B$2:$D$210,3)&gt;=500000,VLOOKUP(GAS!N133,'GAS ASCII'!$B$2:$D$210,3)/-1000000,IF(VLOOKUP(GAS!N133,'GAS ASCII'!$B$2:$D$210,3)&lt;=0,0,"*"))</f>
        <v>0</v>
      </c>
      <c r="K133" s="21"/>
      <c r="L133" s="277">
        <f>IF(VLOOKUP(GAS!N133,'GAS ASCII'!$B$2:$E$210,4)&gt;=500000,VLOOKUP(GAS!N133,'GAS ASCII'!$B$2:$E$210,4)/1000000,IF(VLOOKUP(GAS!N133,'GAS ASCII'!$B$2:$E$210,4)&lt;=0,"……………….","*"))</f>
        <v>6298.821</v>
      </c>
      <c r="M133" s="16"/>
      <c r="N133" t="s">
        <v>382</v>
      </c>
      <c r="O133" s="212"/>
    </row>
    <row r="134" spans="3:15" ht="15.75" customHeight="1">
      <c r="C134" s="5" t="s">
        <v>923</v>
      </c>
      <c r="H134" s="277">
        <f>IF(VLOOKUP(GAS!N134,'GAS ASCII'!$B$2:$C$210,2)&gt;=500000,VLOOKUP(GAS!N134,'GAS ASCII'!$B$2:$C$210,2)/1000000,IF(VLOOKUP(GAS!N134,'GAS ASCII'!$B$2:$C$210,2)&lt;=0,"……………….","*"))</f>
        <v>4.482</v>
      </c>
      <c r="I134" s="16"/>
      <c r="J134" s="277">
        <f>IF(VLOOKUP(GAS!N134,'GAS ASCII'!$B$2:$D$210,3)&gt;=500000,VLOOKUP(GAS!N134,'GAS ASCII'!$B$2:$D$210,3)/-1000000,IF(VLOOKUP(GAS!N134,'GAS ASCII'!$B$2:$D$210,3)&lt;=0,0,"*"))</f>
        <v>0</v>
      </c>
      <c r="K134" s="21"/>
      <c r="L134" s="277">
        <f>IF(VLOOKUP(GAS!N134,'GAS ASCII'!$B$2:$E$210,4)&gt;=500000,VLOOKUP(GAS!N134,'GAS ASCII'!$B$2:$E$210,4)/1000000,IF(VLOOKUP(GAS!N134,'GAS ASCII'!$B$2:$E$210,4)&lt;=0,"……………….","*"))</f>
        <v>4.482</v>
      </c>
      <c r="M134" s="16"/>
      <c r="N134" t="s">
        <v>384</v>
      </c>
      <c r="O134" s="212"/>
    </row>
    <row r="135" spans="3:15" ht="15.75" customHeight="1">
      <c r="C135" s="5" t="s">
        <v>452</v>
      </c>
      <c r="H135" s="277" t="str">
        <f>IF(VLOOKUP(GAS!N135,'GAS ASCII'!$B$2:$C$210,2)&gt;=500000,VLOOKUP(GAS!N135,'GAS ASCII'!$B$2:$C$210,2)/1000000,IF(VLOOKUP(GAS!N135,'GAS ASCII'!$B$2:$C$210,2)&lt;=0,"……………….","*"))</f>
        <v>*</v>
      </c>
      <c r="I135" s="16"/>
      <c r="J135" s="277">
        <f>IF(VLOOKUP(GAS!N135,'GAS ASCII'!$B$2:$D$210,3)&gt;=500000,VLOOKUP(GAS!N135,'GAS ASCII'!$B$2:$D$210,3)/-1000000,IF(VLOOKUP(GAS!N135,'GAS ASCII'!$B$2:$D$210,3)&lt;=0,0,"*"))</f>
        <v>0</v>
      </c>
      <c r="K135" s="21"/>
      <c r="L135" s="277" t="str">
        <f>IF(VLOOKUP(GAS!N135,'GAS ASCII'!$B$2:$E$210,4)&gt;=500000,VLOOKUP(GAS!N135,'GAS ASCII'!$B$2:$E$210,4)/1000000,IF(VLOOKUP(GAS!N135,'GAS ASCII'!$B$2:$E$210,4)&lt;=0,"……………….","*"))</f>
        <v>*</v>
      </c>
      <c r="M135" s="16"/>
      <c r="N135" t="s">
        <v>955</v>
      </c>
      <c r="O135" s="212"/>
    </row>
    <row r="136" spans="3:15" ht="15.75" customHeight="1">
      <c r="C136" s="5" t="s">
        <v>72</v>
      </c>
      <c r="H136" s="277">
        <f>IF(VLOOKUP(GAS!N136,'GAS ASCII'!$B$2:$C$210,2)&gt;=500000,VLOOKUP(GAS!N136,'GAS ASCII'!$B$2:$C$210,2)/1000000,IF(VLOOKUP(GAS!N136,'GAS ASCII'!$B$2:$C$210,2)&lt;=0,"……………….","*"))</f>
        <v>19.284</v>
      </c>
      <c r="I136" s="16"/>
      <c r="J136" s="277">
        <f>IF(VLOOKUP(GAS!N136,'GAS ASCII'!$B$2:$D$210,3)&gt;=500000,VLOOKUP(GAS!N136,'GAS ASCII'!$B$2:$D$210,3)/-1000000,IF(VLOOKUP(GAS!N136,'GAS ASCII'!$B$2:$D$210,3)&lt;=0,0,"*"))</f>
        <v>0</v>
      </c>
      <c r="K136" s="21"/>
      <c r="L136" s="277">
        <f>IF(VLOOKUP(GAS!N136,'GAS ASCII'!$B$2:$E$210,4)&gt;=500000,VLOOKUP(GAS!N136,'GAS ASCII'!$B$2:$E$210,4)/1000000,IF(VLOOKUP(GAS!N136,'GAS ASCII'!$B$2:$E$210,4)&lt;=0,"……………….","*"))</f>
        <v>19.284</v>
      </c>
      <c r="M136" s="16"/>
      <c r="N136" t="s">
        <v>957</v>
      </c>
      <c r="O136" s="212"/>
    </row>
    <row r="137" spans="3:15" ht="15.75" customHeight="1">
      <c r="C137" s="5" t="s">
        <v>1099</v>
      </c>
      <c r="H137" s="277">
        <f>IF(VLOOKUP(GAS!N137,'GAS ASCII'!$B$2:$C$210,2)&gt;=500000,VLOOKUP(GAS!N137,'GAS ASCII'!$B$2:$C$210,2)/1000000,IF(VLOOKUP(GAS!N137,'GAS ASCII'!$B$2:$C$210,2)&lt;=0,"……………….","*"))</f>
        <v>1.354</v>
      </c>
      <c r="I137" s="16"/>
      <c r="J137" s="277">
        <f>IF(VLOOKUP(GAS!N137,'GAS ASCII'!$B$2:$D$210,3)&gt;=500000,VLOOKUP(GAS!N137,'GAS ASCII'!$B$2:$D$210,3)/-1000000,IF(VLOOKUP(GAS!N137,'GAS ASCII'!$B$2:$D$210,3)&lt;=0,0,"*"))</f>
        <v>0</v>
      </c>
      <c r="K137" s="21"/>
      <c r="L137" s="277">
        <f>IF(VLOOKUP(GAS!N137,'GAS ASCII'!$B$2:$E$210,4)&gt;=500000,VLOOKUP(GAS!N137,'GAS ASCII'!$B$2:$E$210,4)/1000000,IF(VLOOKUP(GAS!N137,'GAS ASCII'!$B$2:$E$210,4)&lt;=0,"……………….","*"))</f>
        <v>1.354</v>
      </c>
      <c r="M137" s="16"/>
      <c r="N137" t="s">
        <v>62</v>
      </c>
      <c r="O137" s="212"/>
    </row>
    <row r="138" spans="3:15" ht="15.75" customHeight="1">
      <c r="C138" s="5" t="s">
        <v>241</v>
      </c>
      <c r="H138" s="277">
        <f>IF(VLOOKUP(GAS!N138,'GAS ASCII'!$B$2:$C$210,2)&gt;=500000,VLOOKUP(GAS!N138,'GAS ASCII'!$B$2:$C$210,2)/1000000,IF(VLOOKUP(GAS!N138,'GAS ASCII'!$B$2:$C$210,2)&lt;=0,"……………….","*"))</f>
        <v>12.495</v>
      </c>
      <c r="I138" s="16"/>
      <c r="J138" s="277">
        <f>IF(VLOOKUP(GAS!N138,'GAS ASCII'!$B$2:$D$210,3)&gt;=500000,VLOOKUP(GAS!N138,'GAS ASCII'!$B$2:$D$210,3)/-1000000,IF(VLOOKUP(GAS!N138,'GAS ASCII'!$B$2:$D$210,3)&lt;=0,0,"*"))</f>
        <v>0</v>
      </c>
      <c r="K138" s="21"/>
      <c r="L138" s="277">
        <f>IF(VLOOKUP(GAS!N138,'GAS ASCII'!$B$2:$E$210,4)&gt;=500000,VLOOKUP(GAS!N138,'GAS ASCII'!$B$2:$E$210,4)/1000000,IF(VLOOKUP(GAS!N138,'GAS ASCII'!$B$2:$E$210,4)&lt;=0,"……………….","*"))</f>
        <v>12.495</v>
      </c>
      <c r="M138" s="16"/>
      <c r="N138" t="s">
        <v>959</v>
      </c>
      <c r="O138" s="212"/>
    </row>
    <row r="139" spans="3:15" ht="15.75" customHeight="1">
      <c r="C139" s="5" t="s">
        <v>920</v>
      </c>
      <c r="H139" s="277">
        <f>IF(VLOOKUP(GAS!N139,'GAS ASCII'!$B$2:$C$210,2)&gt;=500000,VLOOKUP(GAS!N139,'GAS ASCII'!$B$2:$C$210,2)/1000000,IF(VLOOKUP(GAS!N139,'GAS ASCII'!$B$2:$C$210,2)&lt;=0,"……………….","*"))</f>
        <v>18487.635</v>
      </c>
      <c r="I139" s="16"/>
      <c r="J139" s="277">
        <f>IF(VLOOKUP(GAS!N139,'GAS ASCII'!$B$2:$D$210,3)&gt;=500000,VLOOKUP(GAS!N139,'GAS ASCII'!$B$2:$D$210,3)/-1000000,IF(VLOOKUP(GAS!N139,'GAS ASCII'!$B$2:$D$210,3)&lt;=0,0,"*"))</f>
        <v>-7700.93</v>
      </c>
      <c r="K139" s="21"/>
      <c r="L139" s="277">
        <f>IF(VLOOKUP(GAS!N139,'GAS ASCII'!$B$2:$E$210,4)&gt;=500000,VLOOKUP(GAS!N139,'GAS ASCII'!$B$2:$E$210,4)/1000000,IF(VLOOKUP(GAS!N139,'GAS ASCII'!$B$2:$E$210,4)&lt;=0,"……………….","*"))</f>
        <v>10786.705</v>
      </c>
      <c r="M139" s="16"/>
      <c r="N139" t="s">
        <v>961</v>
      </c>
      <c r="O139" s="212"/>
    </row>
    <row r="140" spans="3:15" ht="15.75" customHeight="1">
      <c r="C140" s="5" t="s">
        <v>921</v>
      </c>
      <c r="H140" s="277">
        <f>IF(VLOOKUP(GAS!N140,'GAS ASCII'!$B$2:$C$210,2)&gt;=500000,VLOOKUP(GAS!N140,'GAS ASCII'!$B$2:$C$210,2)/1000000,IF(VLOOKUP(GAS!N140,'GAS ASCII'!$B$2:$C$210,2)&lt;=0,"……………….","*"))</f>
        <v>408.781</v>
      </c>
      <c r="I140" s="16"/>
      <c r="J140" s="277">
        <f>IF(VLOOKUP(GAS!N140,'GAS ASCII'!$B$2:$D$210,3)&gt;=500000,VLOOKUP(GAS!N140,'GAS ASCII'!$B$2:$D$210,3)/-1000000,IF(VLOOKUP(GAS!N140,'GAS ASCII'!$B$2:$D$210,3)&lt;=0,0,"*"))</f>
        <v>0</v>
      </c>
      <c r="K140" s="21"/>
      <c r="L140" s="277">
        <f>IF(VLOOKUP(GAS!N140,'GAS ASCII'!$B$2:$E$210,4)&gt;=500000,VLOOKUP(GAS!N140,'GAS ASCII'!$B$2:$E$210,4)/1000000,IF(VLOOKUP(GAS!N140,'GAS ASCII'!$B$2:$E$210,4)&lt;=0,"……………….","*"))</f>
        <v>408.781</v>
      </c>
      <c r="M140" s="16"/>
      <c r="N140" t="s">
        <v>1078</v>
      </c>
      <c r="O140" s="212"/>
    </row>
    <row r="141" spans="3:15" ht="15.75" customHeight="1">
      <c r="C141" s="5" t="s">
        <v>396</v>
      </c>
      <c r="H141" s="277">
        <f>IF(VLOOKUP(GAS!N141,'GAS ASCII'!$B$2:$C$210,2)&gt;=500000,VLOOKUP(GAS!N141,'GAS ASCII'!$B$2:$C$210,2)/1000000,IF(VLOOKUP(GAS!N141,'GAS ASCII'!$B$2:$C$210,2)&lt;=0,"……………….","*"))</f>
        <v>65.832</v>
      </c>
      <c r="I141" s="16"/>
      <c r="J141" s="277">
        <f>IF(VLOOKUP(GAS!N141,'GAS ASCII'!$B$2:$D$210,3)&gt;=500000,VLOOKUP(GAS!N141,'GAS ASCII'!$B$2:$D$210,3)/-1000000,IF(VLOOKUP(GAS!N141,'GAS ASCII'!$B$2:$D$210,3)&lt;=0,0,"*"))</f>
        <v>0</v>
      </c>
      <c r="K141" s="21"/>
      <c r="L141" s="277">
        <f>IF(VLOOKUP(GAS!N141,'GAS ASCII'!$B$2:$E$210,4)&gt;=500000,VLOOKUP(GAS!N141,'GAS ASCII'!$B$2:$E$210,4)/1000000,IF(VLOOKUP(GAS!N141,'GAS ASCII'!$B$2:$E$210,4)&lt;=0,"……………….","*"))</f>
        <v>65.832</v>
      </c>
      <c r="M141" s="16"/>
      <c r="N141" t="s">
        <v>785</v>
      </c>
      <c r="O141" s="212"/>
    </row>
    <row r="142" spans="3:15" ht="15.75" customHeight="1">
      <c r="C142" s="5" t="s">
        <v>131</v>
      </c>
      <c r="H142" s="277"/>
      <c r="I142" s="16"/>
      <c r="J142" s="277"/>
      <c r="K142" s="16"/>
      <c r="L142" s="277"/>
      <c r="M142" s="16"/>
      <c r="O142" s="212"/>
    </row>
    <row r="143" spans="3:15" ht="15.75" customHeight="1">
      <c r="C143" s="5" t="s">
        <v>397</v>
      </c>
      <c r="H143" s="277">
        <f>IF(VLOOKUP(GAS!N143,'GAS ASCII'!$B$2:$C$210,2)&gt;=500000,VLOOKUP(GAS!N143,'GAS ASCII'!$B$2:$C$210,2)/1000000,IF(VLOOKUP(GAS!N143,'GAS ASCII'!$B$2:$C$210,2)&lt;=0,"……………….","*"))</f>
        <v>174.446352</v>
      </c>
      <c r="I143" s="16"/>
      <c r="J143" s="277">
        <f>IF(VLOOKUP(GAS!N143,'GAS ASCII'!$B$2:$D$210,3)&gt;=500000,VLOOKUP(GAS!N143,'GAS ASCII'!$B$2:$D$210,3)/-1000000,IF(VLOOKUP(GAS!N143,'GAS ASCII'!$B$2:$D$210,3)&lt;=0,0,"*"))</f>
        <v>0</v>
      </c>
      <c r="K143" s="21"/>
      <c r="L143" s="277">
        <f>IF(VLOOKUP(GAS!N143,'GAS ASCII'!$B$2:$E$210,4)&gt;=500000,VLOOKUP(GAS!N143,'GAS ASCII'!$B$2:$E$210,4)/1000000,IF(VLOOKUP(GAS!N143,'GAS ASCII'!$B$2:$E$210,4)&lt;=0,"……………….","*"))</f>
        <v>174.446352</v>
      </c>
      <c r="M143" s="16"/>
      <c r="N143" t="s">
        <v>377</v>
      </c>
      <c r="O143" s="212"/>
    </row>
    <row r="144" spans="3:15" ht="15.75" customHeight="1">
      <c r="C144" s="5" t="s">
        <v>319</v>
      </c>
      <c r="H144" s="277">
        <f>IF(VLOOKUP(GAS!N144,'GAS ASCII'!$B$2:$C$210,2)&gt;=500000,VLOOKUP(GAS!N144,'GAS ASCII'!$B$2:$C$210,2)/1000000,IF(VLOOKUP(GAS!N144,'GAS ASCII'!$B$2:$C$210,2)&lt;=0,"……………….","*"))</f>
        <v>34779.46109</v>
      </c>
      <c r="I144" s="16"/>
      <c r="J144" s="277">
        <f>IF(VLOOKUP(GAS!N144,'GAS ASCII'!$B$2:$D$210,3)&gt;=500000,VLOOKUP(GAS!N144,'GAS ASCII'!$B$2:$D$210,3)/-1000000,IF(VLOOKUP(GAS!N144,'GAS ASCII'!$B$2:$D$210,3)&lt;=0,0,"*"))</f>
        <v>-3328.661</v>
      </c>
      <c r="K144" s="16"/>
      <c r="L144" s="277">
        <f>IF(VLOOKUP(GAS!N144,'GAS ASCII'!$B$2:$E$210,4)&gt;=500000,VLOOKUP(GAS!N144,'GAS ASCII'!$B$2:$E$210,4)/1000000,IF(VLOOKUP(GAS!N144,'GAS ASCII'!$B$2:$E$210,4)&lt;=0,"……………….","*"))</f>
        <v>31450.80009</v>
      </c>
      <c r="M144" s="16"/>
      <c r="N144" t="s">
        <v>379</v>
      </c>
      <c r="O144" s="212"/>
    </row>
    <row r="145" spans="3:15" ht="30.75" customHeight="1">
      <c r="C145" s="5" t="s">
        <v>751</v>
      </c>
      <c r="H145" s="277">
        <f>IF(VLOOKUP(GAS!N145,'GAS ASCII'!$B$2:$C$210,2)&gt;=500000,VLOOKUP(GAS!N145,'GAS ASCII'!$B$2:$C$210,2)/1000000,IF(VLOOKUP(GAS!N145,'GAS ASCII'!$B$2:$C$210,2)&lt;=0,"……………….","*"))</f>
        <v>760.141</v>
      </c>
      <c r="I145" s="16"/>
      <c r="J145" s="277" t="str">
        <f>IF(VLOOKUP(GAS!N145,'GAS ASCII'!$B$2:$D$210,3)&gt;=500000,VLOOKUP(GAS!N145,'GAS ASCII'!$B$2:$D$210,3)/-1000000,IF(VLOOKUP(GAS!N145,'GAS ASCII'!$B$2:$D$210,3)&lt;=0,0,"*"))</f>
        <v>*</v>
      </c>
      <c r="K145" s="21"/>
      <c r="L145" s="277">
        <f>IF(VLOOKUP(GAS!N145,'GAS ASCII'!$B$2:$E$210,4)&gt;=500000,VLOOKUP(GAS!N145,'GAS ASCII'!$B$2:$E$210,4)/1000000,IF(VLOOKUP(GAS!N145,'GAS ASCII'!$B$2:$E$210,4)&lt;=0,"……………….","*"))</f>
        <v>759.795</v>
      </c>
      <c r="M145" s="16"/>
      <c r="N145" t="s">
        <v>380</v>
      </c>
      <c r="O145" s="212"/>
    </row>
    <row r="146" spans="3:15" ht="15.75" customHeight="1">
      <c r="C146" s="5" t="s">
        <v>33</v>
      </c>
      <c r="H146" s="277" t="str">
        <f>IF(VLOOKUP(GAS!N146,'GAS ASCII'!$B$2:$C$210,2)&gt;=500000,VLOOKUP(GAS!N146,'GAS ASCII'!$B$2:$C$210,2)/1000000,IF(VLOOKUP(GAS!N146,'GAS ASCII'!$B$2:$C$210,2)&lt;=0,"……………….","*"))</f>
        <v>*</v>
      </c>
      <c r="I146" s="16"/>
      <c r="J146" s="277">
        <f>IF(VLOOKUP(GAS!N146,'GAS ASCII'!$B$2:$D$210,3)&gt;=500000,VLOOKUP(GAS!N146,'GAS ASCII'!$B$2:$D$210,3)/-1000000,IF(VLOOKUP(GAS!N146,'GAS ASCII'!$B$2:$D$210,3)&lt;=0,0,"*"))</f>
        <v>0</v>
      </c>
      <c r="K146" s="21"/>
      <c r="L146" s="277" t="str">
        <f>IF(VLOOKUP(GAS!N146,'GAS ASCII'!$B$2:$E$210,4)&gt;=500000,VLOOKUP(GAS!N146,'GAS ASCII'!$B$2:$E$210,4)/1000000,IF(VLOOKUP(GAS!N146,'GAS ASCII'!$B$2:$E$210,4)&lt;=0,"……………….","*"))</f>
        <v>*</v>
      </c>
      <c r="M146" s="16"/>
      <c r="N146" t="s">
        <v>194</v>
      </c>
      <c r="O146" s="212"/>
    </row>
    <row r="147" spans="3:15" ht="15.75" customHeight="1">
      <c r="C147" s="5" t="s">
        <v>577</v>
      </c>
      <c r="H147" s="277">
        <f>IF(VLOOKUP(GAS!N147,'GAS ASCII'!$B$2:$C$210,2)&gt;=500000,VLOOKUP(GAS!N147,'GAS ASCII'!$B$2:$C$210,2)/1000000,IF(VLOOKUP(GAS!N147,'GAS ASCII'!$B$2:$C$210,2)&lt;=0,"……………….","*"))</f>
        <v>50.225</v>
      </c>
      <c r="I147" s="16"/>
      <c r="J147" s="277">
        <f>IF(VLOOKUP(GAS!N147,'GAS ASCII'!$B$2:$D$210,3)&gt;=500000,VLOOKUP(GAS!N147,'GAS ASCII'!$B$2:$D$210,3)/-1000000,IF(VLOOKUP(GAS!N147,'GAS ASCII'!$B$2:$D$210,3)&lt;=0,0,"*"))</f>
        <v>0</v>
      </c>
      <c r="K147" s="21"/>
      <c r="L147" s="277">
        <f>IF(VLOOKUP(GAS!N147,'GAS ASCII'!$B$2:$E$210,4)&gt;=500000,VLOOKUP(GAS!N147,'GAS ASCII'!$B$2:$E$210,4)/1000000,IF(VLOOKUP(GAS!N147,'GAS ASCII'!$B$2:$E$210,4)&lt;=0,"……………….","*"))</f>
        <v>50.225</v>
      </c>
      <c r="M147" s="16"/>
      <c r="N147" t="s">
        <v>1160</v>
      </c>
      <c r="O147" s="212"/>
    </row>
    <row r="148" spans="3:15" ht="15.75" customHeight="1">
      <c r="C148" s="5" t="s">
        <v>424</v>
      </c>
      <c r="H148" s="277">
        <f>IF(VLOOKUP(GAS!N148,'GAS ASCII'!$B$2:$C$210,2)&gt;=500000,VLOOKUP(GAS!N148,'GAS ASCII'!$B$2:$C$210,2)/1000000,IF(VLOOKUP(GAS!N148,'GAS ASCII'!$B$2:$C$210,2)&lt;=0,"……………….","*"))</f>
        <v>27.545</v>
      </c>
      <c r="I148" s="16"/>
      <c r="J148" s="277">
        <f>IF(VLOOKUP(GAS!N148,'GAS ASCII'!$B$2:$D$210,3)&gt;=500000,VLOOKUP(GAS!N148,'GAS ASCII'!$B$2:$D$210,3)/-1000000,IF(VLOOKUP(GAS!N148,'GAS ASCII'!$B$2:$D$210,3)&lt;=0,0,"*"))</f>
        <v>0</v>
      </c>
      <c r="K148" s="21"/>
      <c r="L148" s="277">
        <f>IF(VLOOKUP(GAS!N148,'GAS ASCII'!$B$2:$E$210,4)&gt;=500000,VLOOKUP(GAS!N148,'GAS ASCII'!$B$2:$E$210,4)/1000000,IF(VLOOKUP(GAS!N148,'GAS ASCII'!$B$2:$E$210,4)&lt;=0,"……………….","*"))</f>
        <v>27.545</v>
      </c>
      <c r="M148" s="16"/>
      <c r="N148" t="s">
        <v>331</v>
      </c>
      <c r="O148" s="212"/>
    </row>
    <row r="149" spans="3:15" ht="15.75" customHeight="1">
      <c r="C149" s="5" t="s">
        <v>240</v>
      </c>
      <c r="H149" s="277"/>
      <c r="I149" s="16"/>
      <c r="J149" s="277"/>
      <c r="K149" s="16"/>
      <c r="L149" s="277"/>
      <c r="M149" s="16"/>
      <c r="O149" s="212"/>
    </row>
    <row r="150" spans="3:15" ht="15.75" customHeight="1">
      <c r="C150" s="5" t="s">
        <v>964</v>
      </c>
      <c r="H150" s="277">
        <f>IF(VLOOKUP(GAS!N150,'GAS ASCII'!$B$2:$C$210,2)&gt;=500000,VLOOKUP(GAS!N150,'GAS ASCII'!$B$2:$C$210,2)/1000000,IF(VLOOKUP(GAS!N150,'GAS ASCII'!$B$2:$C$210,2)&lt;=0,"……………….","*"))</f>
        <v>3977.802</v>
      </c>
      <c r="I150" s="16"/>
      <c r="J150" s="277">
        <f>IF(VLOOKUP(GAS!N150,'GAS ASCII'!$B$2:$D$210,3)&gt;=500000,VLOOKUP(GAS!N150,'GAS ASCII'!$B$2:$D$210,3)/-1000000,IF(VLOOKUP(GAS!N150,'GAS ASCII'!$B$2:$D$210,3)&lt;=0,0,"*"))</f>
        <v>-43.977</v>
      </c>
      <c r="K150" s="16"/>
      <c r="L150" s="277">
        <f>IF(VLOOKUP(GAS!N150,'GAS ASCII'!$B$2:$E$210,4)&gt;=500000,VLOOKUP(GAS!N150,'GAS ASCII'!$B$2:$E$210,4)/1000000,IF(VLOOKUP(GAS!N150,'GAS ASCII'!$B$2:$E$210,4)&lt;=0,"……………….","*"))</f>
        <v>3933.825</v>
      </c>
      <c r="M150" s="16"/>
      <c r="N150" t="s">
        <v>333</v>
      </c>
      <c r="O150" s="212"/>
    </row>
    <row r="151" spans="3:15" ht="30.75" customHeight="1">
      <c r="C151" s="5" t="s">
        <v>601</v>
      </c>
      <c r="H151" s="277">
        <f>IF(VLOOKUP(GAS!N151,'GAS ASCII'!$B$2:$C$210,2)&gt;=500000,VLOOKUP(GAS!N151,'GAS ASCII'!$B$2:$C$210,2)/1000000,IF(VLOOKUP(GAS!N151,'GAS ASCII'!$B$2:$C$210,2)&lt;=0,"……………….","*"))</f>
        <v>8.952</v>
      </c>
      <c r="I151" s="16"/>
      <c r="J151" s="277">
        <f>IF(VLOOKUP(GAS!N151,'GAS ASCII'!$B$2:$D$210,3)&gt;=500000,VLOOKUP(GAS!N151,'GAS ASCII'!$B$2:$D$210,3)/-1000000,IF(VLOOKUP(GAS!N151,'GAS ASCII'!$B$2:$D$210,3)&lt;=0,0,"*"))</f>
        <v>0</v>
      </c>
      <c r="K151" s="21"/>
      <c r="L151" s="277">
        <f>IF(VLOOKUP(GAS!N151,'GAS ASCII'!$B$2:$E$210,4)&gt;=500000,VLOOKUP(GAS!N151,'GAS ASCII'!$B$2:$E$210,4)/1000000,IF(VLOOKUP(GAS!N151,'GAS ASCII'!$B$2:$E$210,4)&lt;=0,"……………….","*"))</f>
        <v>8.952</v>
      </c>
      <c r="M151" s="16"/>
      <c r="N151" t="s">
        <v>596</v>
      </c>
      <c r="O151" s="212"/>
    </row>
    <row r="152" spans="3:15" ht="15.75" customHeight="1">
      <c r="C152" s="5" t="s">
        <v>1036</v>
      </c>
      <c r="H152" s="277">
        <f>IF(VLOOKUP(GAS!N152,'GAS ASCII'!$B$2:$C$210,2)&gt;=500000,VLOOKUP(GAS!N152,'GAS ASCII'!$B$2:$C$210,2)/1000000,IF(VLOOKUP(GAS!N152,'GAS ASCII'!$B$2:$C$210,2)&lt;=0,"……………….","*"))</f>
        <v>76.539</v>
      </c>
      <c r="I152" s="16"/>
      <c r="J152" s="277">
        <f>IF(VLOOKUP(GAS!N152,'GAS ASCII'!$B$2:$D$210,3)&gt;=500000,VLOOKUP(GAS!N152,'GAS ASCII'!$B$2:$D$210,3)/-1000000,IF(VLOOKUP(GAS!N152,'GAS ASCII'!$B$2:$D$210,3)&lt;=0,0,"*"))</f>
        <v>0</v>
      </c>
      <c r="K152" s="21"/>
      <c r="L152" s="277">
        <f>IF(VLOOKUP(GAS!N152,'GAS ASCII'!$B$2:$E$210,4)&gt;=500000,VLOOKUP(GAS!N152,'GAS ASCII'!$B$2:$E$210,4)/1000000,IF(VLOOKUP(GAS!N152,'GAS ASCII'!$B$2:$E$210,4)&lt;=0,"……………….","*"))</f>
        <v>76.539</v>
      </c>
      <c r="M152" s="16"/>
      <c r="N152" t="s">
        <v>335</v>
      </c>
      <c r="O152" s="212"/>
    </row>
    <row r="153" spans="3:15" ht="15.75" customHeight="1">
      <c r="C153" s="5" t="s">
        <v>320</v>
      </c>
      <c r="H153" s="277" t="str">
        <f>IF(VLOOKUP(GAS!N153,'GAS ASCII'!$B$2:$C$210,2)&gt;=500000,VLOOKUP(GAS!N153,'GAS ASCII'!$B$2:$C$210,2)/1000000,IF(VLOOKUP(GAS!N153,'GAS ASCII'!$B$2:$C$210,2)&lt;=0,"……………….","*"))</f>
        <v>*</v>
      </c>
      <c r="I153" s="16"/>
      <c r="J153" s="277">
        <f>IF(VLOOKUP(GAS!N153,'GAS ASCII'!$B$2:$D$210,3)&gt;=500000,VLOOKUP(GAS!N153,'GAS ASCII'!$B$2:$D$210,3)/-1000000,IF(VLOOKUP(GAS!N153,'GAS ASCII'!$B$2:$D$210,3)&lt;=0,0,"*"))</f>
        <v>0</v>
      </c>
      <c r="K153" s="21"/>
      <c r="L153" s="277" t="str">
        <f>IF(VLOOKUP(GAS!N153,'GAS ASCII'!$B$2:$E$210,4)&gt;=500000,VLOOKUP(GAS!N153,'GAS ASCII'!$B$2:$E$210,4)/1000000,IF(VLOOKUP(GAS!N153,'GAS ASCII'!$B$2:$E$210,4)&lt;=0,"……………….","*"))</f>
        <v>*</v>
      </c>
      <c r="M153" s="16"/>
      <c r="N153" t="s">
        <v>3</v>
      </c>
      <c r="O153" s="212"/>
    </row>
    <row r="154" spans="3:15" ht="15.75" customHeight="1">
      <c r="C154" s="5" t="s">
        <v>612</v>
      </c>
      <c r="H154" s="277">
        <f>IF(VLOOKUP(GAS!N154,'GAS ASCII'!$B$2:$C$210,2)&gt;=500000,VLOOKUP(GAS!N154,'GAS ASCII'!$B$2:$C$210,2)/1000000,IF(VLOOKUP(GAS!N154,'GAS ASCII'!$B$2:$C$210,2)&lt;=0,"……………….","*"))</f>
        <v>914.73</v>
      </c>
      <c r="I154" s="16"/>
      <c r="J154" s="277" t="str">
        <f>IF(VLOOKUP(GAS!N154,'GAS ASCII'!$B$2:$D$210,3)&gt;=500000,VLOOKUP(GAS!N154,'GAS ASCII'!$B$2:$D$210,3)/-1000000,IF(VLOOKUP(GAS!N154,'GAS ASCII'!$B$2:$D$210,3)&lt;=0,0,"*"))</f>
        <v>*</v>
      </c>
      <c r="K154" s="2"/>
      <c r="L154" s="277">
        <f>IF(VLOOKUP(GAS!N154,'GAS ASCII'!$B$2:$E$210,4)&gt;=500000,VLOOKUP(GAS!N154,'GAS ASCII'!$B$2:$E$210,4)/1000000,IF(VLOOKUP(GAS!N154,'GAS ASCII'!$B$2:$E$210,4)&lt;=0,"……………….","*"))</f>
        <v>914.638</v>
      </c>
      <c r="M154" s="16"/>
      <c r="N154" t="s">
        <v>337</v>
      </c>
      <c r="O154" s="212"/>
    </row>
    <row r="155" spans="3:15" ht="15.75" customHeight="1">
      <c r="C155" s="5" t="s">
        <v>614</v>
      </c>
      <c r="H155" s="277">
        <f>IF(VLOOKUP(GAS!N155,'GAS ASCII'!$B$2:$C$210,2)&gt;=500000,VLOOKUP(GAS!N155,'GAS ASCII'!$B$2:$C$210,2)/1000000,IF(VLOOKUP(GAS!N155,'GAS ASCII'!$B$2:$C$210,2)&lt;=0,"……………….","*"))</f>
        <v>29235.88388675</v>
      </c>
      <c r="I155" s="16"/>
      <c r="J155" s="277">
        <f>IF(VLOOKUP(GAS!N155,'GAS ASCII'!$B$2:$D$210,3)&gt;=500000,VLOOKUP(GAS!N155,'GAS ASCII'!$B$2:$D$210,3)/-1000000,IF(VLOOKUP(GAS!N155,'GAS ASCII'!$B$2:$D$210,3)&lt;=0,0,"*"))</f>
        <v>-16519.527</v>
      </c>
      <c r="K155" s="16"/>
      <c r="L155" s="277">
        <f>IF(VLOOKUP(GAS!N155,'GAS ASCII'!$B$2:$E$210,4)&gt;=500000,VLOOKUP(GAS!N155,'GAS ASCII'!$B$2:$E$210,4)/1000000,IF(VLOOKUP(GAS!N155,'GAS ASCII'!$B$2:$E$210,4)&lt;=0,"……………….","*"))</f>
        <v>12716.35688675</v>
      </c>
      <c r="M155" s="16"/>
      <c r="N155" t="s">
        <v>339</v>
      </c>
      <c r="O155" s="212"/>
    </row>
    <row r="156" spans="3:15" ht="15.75" customHeight="1">
      <c r="C156" s="5" t="s">
        <v>185</v>
      </c>
      <c r="H156" s="277">
        <f>IF(VLOOKUP(GAS!N156,'GAS ASCII'!$B$2:$C$210,2)&gt;=500000,VLOOKUP(GAS!N156,'GAS ASCII'!$B$2:$C$210,2)/1000000,IF(VLOOKUP(GAS!N156,'GAS ASCII'!$B$2:$C$210,2)&lt;=0,"……………….","*"))</f>
        <v>5.034135</v>
      </c>
      <c r="I156" s="16"/>
      <c r="J156" s="277">
        <f>IF(VLOOKUP(GAS!N156,'GAS ASCII'!$B$2:$D$210,3)&gt;=500000,VLOOKUP(GAS!N156,'GAS ASCII'!$B$2:$D$210,3)/-1000000,IF(VLOOKUP(GAS!N156,'GAS ASCII'!$B$2:$D$210,3)&lt;=0,0,"*"))</f>
        <v>0</v>
      </c>
      <c r="K156" s="16"/>
      <c r="L156" s="277">
        <f>IF(VLOOKUP(GAS!N156,'GAS ASCII'!$B$2:$E$210,4)&gt;=500000,VLOOKUP(GAS!N156,'GAS ASCII'!$B$2:$E$210,4)/1000000,IF(VLOOKUP(GAS!N156,'GAS ASCII'!$B$2:$E$210,4)&lt;=0,"……………….","*"))</f>
        <v>5.034135</v>
      </c>
      <c r="M156" s="16"/>
      <c r="N156" t="s">
        <v>181</v>
      </c>
      <c r="O156" s="212"/>
    </row>
    <row r="157" spans="3:15" ht="15.75" customHeight="1">
      <c r="C157" s="5" t="s">
        <v>355</v>
      </c>
      <c r="H157" s="277">
        <f>IF(VLOOKUP(GAS!N157,'GAS ASCII'!$B$2:$C$210,2)&gt;=500000,VLOOKUP(GAS!N157,'GAS ASCII'!$B$2:$C$210,2)/1000000,IF(VLOOKUP(GAS!N157,'GAS ASCII'!$B$2:$C$210,2)&lt;=0,"……………….","*"))</f>
        <v>2210.4</v>
      </c>
      <c r="I157" s="16"/>
      <c r="J157" s="277">
        <f>IF(VLOOKUP(GAS!N157,'GAS ASCII'!$B$2:$D$210,3)&gt;=500000,VLOOKUP(GAS!N157,'GAS ASCII'!$B$2:$D$210,3)/-1000000,IF(VLOOKUP(GAS!N157,'GAS ASCII'!$B$2:$D$210,3)&lt;=0,0,"*"))</f>
        <v>0</v>
      </c>
      <c r="K157" s="21"/>
      <c r="L157" s="277">
        <f>IF(VLOOKUP(GAS!N157,'GAS ASCII'!$B$2:$E$210,4)&gt;=500000,VLOOKUP(GAS!N157,'GAS ASCII'!$B$2:$E$210,4)/1000000,IF(VLOOKUP(GAS!N157,'GAS ASCII'!$B$2:$E$210,4)&lt;=0,"……………….","*"))</f>
        <v>2210.4</v>
      </c>
      <c r="M157" s="16"/>
      <c r="N157" t="s">
        <v>341</v>
      </c>
      <c r="O157" s="212"/>
    </row>
    <row r="158" spans="3:15" s="48" customFormat="1" ht="15.75" customHeight="1">
      <c r="C158" s="317" t="s">
        <v>224</v>
      </c>
      <c r="H158" s="277">
        <f>IF(VLOOKUP(GAS!N158,'GAS ASCII'!$B$2:$C$210,2)&gt;=500000,VLOOKUP(GAS!N158,'GAS ASCII'!$B$2:$C$210,2)/1000000,IF(VLOOKUP(GAS!N158,'GAS ASCII'!$B$2:$C$210,2)&lt;=0,"……………….","*"))</f>
        <v>39.559</v>
      </c>
      <c r="I158" s="77"/>
      <c r="J158" s="277">
        <f>IF(VLOOKUP(GAS!N158,'GAS ASCII'!$B$2:$D$210,3)&gt;=500000,VLOOKUP(GAS!N158,'GAS ASCII'!$B$2:$D$210,3)/-1000000,IF(VLOOKUP(GAS!N158,'GAS ASCII'!$B$2:$D$210,3)&lt;=0,0,"*"))</f>
        <v>0</v>
      </c>
      <c r="K158" s="78"/>
      <c r="L158" s="277">
        <f>IF(VLOOKUP(GAS!N158,'GAS ASCII'!$B$2:$E$210,4)&gt;=500000,VLOOKUP(GAS!N158,'GAS ASCII'!$B$2:$E$210,4)/1000000,IF(VLOOKUP(GAS!N158,'GAS ASCII'!$B$2:$E$210,4)&lt;=0,"……………….","*"))</f>
        <v>39.559</v>
      </c>
      <c r="M158" s="77"/>
      <c r="N158" s="48" t="s">
        <v>343</v>
      </c>
      <c r="O158" s="318"/>
    </row>
    <row r="159" spans="3:15" ht="15.75" customHeight="1">
      <c r="C159" s="5" t="s">
        <v>918</v>
      </c>
      <c r="H159" s="277">
        <f>IF(VLOOKUP(GAS!N159,'GAS ASCII'!$B$2:$C$210,2)&gt;=500000,VLOOKUP(GAS!N159,'GAS ASCII'!$B$2:$C$210,2)/1000000,IF(VLOOKUP(GAS!N159,'GAS ASCII'!$B$2:$C$210,2)&lt;=0,"……………….","*"))</f>
        <v>225.4</v>
      </c>
      <c r="I159" s="16"/>
      <c r="J159" s="277">
        <f>IF(VLOOKUP(GAS!N159,'GAS ASCII'!$B$2:$D$210,3)&gt;=500000,VLOOKUP(GAS!N159,'GAS ASCII'!$B$2:$D$210,3)/-1000000,IF(VLOOKUP(GAS!N159,'GAS ASCII'!$B$2:$D$210,3)&lt;=0,0,"*"))</f>
        <v>0</v>
      </c>
      <c r="K159" s="21"/>
      <c r="L159" s="277">
        <f>IF(VLOOKUP(GAS!N159,'GAS ASCII'!$B$2:$E$210,4)&gt;=500000,VLOOKUP(GAS!N159,'GAS ASCII'!$B$2:$E$210,4)/1000000,IF(VLOOKUP(GAS!N159,'GAS ASCII'!$B$2:$E$210,4)&lt;=0,"……………….","*"))</f>
        <v>225.4</v>
      </c>
      <c r="M159" s="16"/>
      <c r="N159" t="s">
        <v>726</v>
      </c>
      <c r="O159" s="212"/>
    </row>
    <row r="160" spans="3:15" ht="15.75" customHeight="1">
      <c r="C160" s="5" t="s">
        <v>202</v>
      </c>
      <c r="H160" s="277">
        <f>IF(VLOOKUP(GAS!N160,'GAS ASCII'!$B$2:$C$210,2)&gt;=500000,VLOOKUP(GAS!N160,'GAS ASCII'!$B$2:$C$210,2)/1000000,IF(VLOOKUP(GAS!N160,'GAS ASCII'!$B$2:$C$210,2)&lt;=0,"……………….","*"))</f>
        <v>235.99869646000002</v>
      </c>
      <c r="I160" s="16"/>
      <c r="J160" s="277">
        <f>IF(VLOOKUP(GAS!N160,'GAS ASCII'!$B$2:$D$210,3)&gt;=500000,VLOOKUP(GAS!N160,'GAS ASCII'!$B$2:$D$210,3)/-1000000,IF(VLOOKUP(GAS!N160,'GAS ASCII'!$B$2:$D$210,3)&lt;=0,0,"*"))</f>
        <v>0</v>
      </c>
      <c r="K160" s="21"/>
      <c r="L160" s="277">
        <f>IF(VLOOKUP(GAS!N160,'GAS ASCII'!$B$2:$E$210,4)&gt;=500000,VLOOKUP(GAS!N160,'GAS ASCII'!$B$2:$E$210,4)/1000000,IF(VLOOKUP(GAS!N160,'GAS ASCII'!$B$2:$E$210,4)&lt;=0,"……………….","*"))</f>
        <v>235.99869646000002</v>
      </c>
      <c r="M160" s="16"/>
      <c r="N160" t="s">
        <v>694</v>
      </c>
      <c r="O160" s="212"/>
    </row>
    <row r="161" spans="3:15" ht="15.75" customHeight="1">
      <c r="C161" s="5" t="s">
        <v>325</v>
      </c>
      <c r="H161" s="277"/>
      <c r="I161" s="16"/>
      <c r="J161" s="277"/>
      <c r="K161" s="21"/>
      <c r="L161" s="277"/>
      <c r="M161" s="16"/>
      <c r="O161" s="212"/>
    </row>
    <row r="162" spans="3:15" ht="15.75" customHeight="1">
      <c r="C162" s="5" t="s">
        <v>587</v>
      </c>
      <c r="H162" s="277">
        <f>IF(VLOOKUP(GAS!N162,'GAS ASCII'!$B$2:$C$210,2)&gt;=500000,VLOOKUP(GAS!N162,'GAS ASCII'!$B$2:$C$210,2)/1000000,IF(VLOOKUP(GAS!N162,'GAS ASCII'!$B$2:$C$210,2)&lt;=0,"……………….","*"))</f>
        <v>2.871</v>
      </c>
      <c r="I162" s="16"/>
      <c r="J162" s="277">
        <f>IF(VLOOKUP(GAS!N162,'GAS ASCII'!$B$2:$D$210,3)&gt;=500000,VLOOKUP(GAS!N162,'GAS ASCII'!$B$2:$D$210,3)/-1000000,IF(VLOOKUP(GAS!N162,'GAS ASCII'!$B$2:$D$210,3)&lt;=0,0,"*"))</f>
        <v>0</v>
      </c>
      <c r="K162" s="21"/>
      <c r="L162" s="277">
        <f>IF(VLOOKUP(GAS!N162,'GAS ASCII'!$B$2:$E$210,4)&gt;=500000,VLOOKUP(GAS!N162,'GAS ASCII'!$B$2:$E$210,4)/1000000,IF(VLOOKUP(GAS!N162,'GAS ASCII'!$B$2:$E$210,4)&lt;=0,"……………….","*"))</f>
        <v>2.871</v>
      </c>
      <c r="M162" s="16"/>
      <c r="N162" t="s">
        <v>51</v>
      </c>
      <c r="O162" s="212"/>
    </row>
    <row r="163" spans="3:15" ht="30.75" customHeight="1">
      <c r="C163" s="5" t="s">
        <v>225</v>
      </c>
      <c r="H163" s="277">
        <f>IF(VLOOKUP(GAS!N163,'GAS ASCII'!$B$2:$C$210,2)&gt;=500000,VLOOKUP(GAS!N163,'GAS ASCII'!$B$2:$C$210,2)/1000000,IF(VLOOKUP(GAS!N163,'GAS ASCII'!$B$2:$C$210,2)&lt;=0,"……………….","*"))</f>
        <v>845.371</v>
      </c>
      <c r="I163" s="16"/>
      <c r="J163" s="277">
        <f>IF(VLOOKUP(GAS!N163,'GAS ASCII'!$B$2:$D$210,3)&gt;=500000,VLOOKUP(GAS!N163,'GAS ASCII'!$B$2:$D$210,3)/-1000000,IF(VLOOKUP(GAS!N163,'GAS ASCII'!$B$2:$D$210,3)&lt;=0,0,"*"))</f>
        <v>-312.63</v>
      </c>
      <c r="K163" s="21"/>
      <c r="L163" s="277">
        <f>IF(VLOOKUP(GAS!N163,'GAS ASCII'!$B$2:$E$210,4)&gt;=500000,VLOOKUP(GAS!N163,'GAS ASCII'!$B$2:$E$210,4)/1000000,IF(VLOOKUP(GAS!N163,'GAS ASCII'!$B$2:$E$210,4)&lt;=0,"……………….","*"))</f>
        <v>532.741</v>
      </c>
      <c r="M163" s="16"/>
      <c r="N163" t="s">
        <v>53</v>
      </c>
      <c r="O163" s="212"/>
    </row>
    <row r="164" spans="3:15" ht="15.75" customHeight="1">
      <c r="C164" s="5" t="s">
        <v>326</v>
      </c>
      <c r="H164" s="277"/>
      <c r="I164" s="16"/>
      <c r="J164" s="277"/>
      <c r="K164" s="21"/>
      <c r="L164" s="277"/>
      <c r="M164" s="16"/>
      <c r="O164" s="212"/>
    </row>
    <row r="165" spans="3:15" ht="15.75" customHeight="1">
      <c r="C165" s="5" t="s">
        <v>425</v>
      </c>
      <c r="H165" s="277">
        <f>IF(VLOOKUP(GAS!N165,'GAS ASCII'!$B$2:$C$210,2)&gt;=500000,VLOOKUP(GAS!N165,'GAS ASCII'!$B$2:$C$210,2)/1000000,IF(VLOOKUP(GAS!N165,'GAS ASCII'!$B$2:$C$210,2)&lt;=0,"……………….","*"))</f>
        <v>23.641</v>
      </c>
      <c r="I165" s="16"/>
      <c r="J165" s="277">
        <f>IF(VLOOKUP(GAS!N165,'GAS ASCII'!$B$2:$D$210,3)&gt;=500000,VLOOKUP(GAS!N165,'GAS ASCII'!$B$2:$D$210,3)/-1000000,IF(VLOOKUP(GAS!N165,'GAS ASCII'!$B$2:$D$210,3)&lt;=0,0,"*"))</f>
        <v>0</v>
      </c>
      <c r="K165" s="21"/>
      <c r="L165" s="277">
        <f>IF(VLOOKUP(GAS!N165,'GAS ASCII'!$B$2:$E$210,4)&gt;=500000,VLOOKUP(GAS!N165,'GAS ASCII'!$B$2:$E$210,4)/1000000,IF(VLOOKUP(GAS!N165,'GAS ASCII'!$B$2:$E$210,4)&lt;=0,"……………….","*"))</f>
        <v>23.641</v>
      </c>
      <c r="M165" s="16"/>
      <c r="N165" t="s">
        <v>512</v>
      </c>
      <c r="O165" s="212"/>
    </row>
    <row r="166" spans="3:15" ht="15.75" customHeight="1">
      <c r="C166" s="5" t="s">
        <v>327</v>
      </c>
      <c r="H166" s="277"/>
      <c r="I166" s="16"/>
      <c r="J166" s="277"/>
      <c r="K166" s="21"/>
      <c r="L166" s="277"/>
      <c r="M166" s="16"/>
      <c r="O166" s="212"/>
    </row>
    <row r="167" spans="3:15" ht="15.75" customHeight="1">
      <c r="C167" s="5" t="s">
        <v>1080</v>
      </c>
      <c r="H167" s="277" t="str">
        <f>IF(VLOOKUP(GAS!N167,'GAS ASCII'!$B$2:$C$210,2)&gt;=500000,VLOOKUP(GAS!N167,'GAS ASCII'!$B$2:$C$210,2)/1000000,IF(VLOOKUP(GAS!N167,'GAS ASCII'!$B$2:$C$210,2)&lt;=0,"……………….","*"))</f>
        <v>*</v>
      </c>
      <c r="I167" s="16"/>
      <c r="J167" s="277">
        <f>IF(VLOOKUP(GAS!N167,'GAS ASCII'!$B$2:$D$210,3)&gt;=500000,VLOOKUP(GAS!N167,'GAS ASCII'!$B$2:$D$210,3)/-1000000,IF(VLOOKUP(GAS!N167,'GAS ASCII'!$B$2:$D$210,3)&lt;=0,0,"*"))</f>
        <v>0</v>
      </c>
      <c r="K167" s="21"/>
      <c r="L167" s="277" t="str">
        <f>IF(VLOOKUP(GAS!N167,'GAS ASCII'!$B$2:$E$210,4)&gt;=500000,VLOOKUP(GAS!N167,'GAS ASCII'!$B$2:$E$210,4)/1000000,IF(VLOOKUP(GAS!N167,'GAS ASCII'!$B$2:$E$210,4)&lt;=0,"……………….","*"))</f>
        <v>*</v>
      </c>
      <c r="M167" s="16"/>
      <c r="N167" t="s">
        <v>1011</v>
      </c>
      <c r="O167" s="212"/>
    </row>
    <row r="168" spans="3:15" ht="15.75" customHeight="1">
      <c r="C168" s="5" t="s">
        <v>203</v>
      </c>
      <c r="H168" s="277">
        <f>IF(VLOOKUP(GAS!N168,'GAS ASCII'!$B$2:$C$210,2)&gt;=500000,VLOOKUP(GAS!N168,'GAS ASCII'!$B$2:$C$210,2)/1000000,IF(VLOOKUP(GAS!N168,'GAS ASCII'!$B$2:$C$210,2)&lt;=0,"……………….","*"))</f>
        <v>13.381</v>
      </c>
      <c r="I168" s="16"/>
      <c r="J168" s="277">
        <f>IF(VLOOKUP(GAS!N168,'GAS ASCII'!$B$2:$D$210,3)&gt;=500000,VLOOKUP(GAS!N168,'GAS ASCII'!$B$2:$D$210,3)/-1000000,IF(VLOOKUP(GAS!N168,'GAS ASCII'!$B$2:$D$210,3)&lt;=0,0,"*"))</f>
        <v>0</v>
      </c>
      <c r="K168" s="21"/>
      <c r="L168" s="277">
        <f>IF(VLOOKUP(GAS!N168,'GAS ASCII'!$B$2:$E$210,4)&gt;=500000,VLOOKUP(GAS!N168,'GAS ASCII'!$B$2:$E$210,4)/1000000,IF(VLOOKUP(GAS!N168,'GAS ASCII'!$B$2:$E$210,4)&lt;=0,"……………….","*"))</f>
        <v>13.381</v>
      </c>
      <c r="M168" s="16"/>
      <c r="N168" t="s">
        <v>606</v>
      </c>
      <c r="O168" s="212"/>
    </row>
    <row r="169" spans="3:15" ht="15.75" customHeight="1">
      <c r="C169" s="5" t="s">
        <v>32</v>
      </c>
      <c r="H169" s="277">
        <f>IF(VLOOKUP(GAS!N169,'GAS ASCII'!$B$2:$C$210,2)&gt;=500000,VLOOKUP(GAS!N169,'GAS ASCII'!$B$2:$C$210,2)/1000000,IF(VLOOKUP(GAS!N169,'GAS ASCII'!$B$2:$C$210,2)&lt;=0,"……………….","*"))</f>
        <v>2.589</v>
      </c>
      <c r="I169" s="16"/>
      <c r="J169" s="277">
        <f>IF(VLOOKUP(GAS!N169,'GAS ASCII'!$B$2:$D$210,3)&gt;=500000,VLOOKUP(GAS!N169,'GAS ASCII'!$B$2:$D$210,3)/-1000000,IF(VLOOKUP(GAS!N169,'GAS ASCII'!$B$2:$D$210,3)&lt;=0,0,"*"))</f>
        <v>0</v>
      </c>
      <c r="K169" s="21"/>
      <c r="L169" s="277">
        <f>IF(VLOOKUP(GAS!N169,'GAS ASCII'!$B$2:$E$210,4)&gt;=500000,VLOOKUP(GAS!N169,'GAS ASCII'!$B$2:$E$210,4)/1000000,IF(VLOOKUP(GAS!N169,'GAS ASCII'!$B$2:$E$210,4)&lt;=0,"……………….","*"))</f>
        <v>2.589</v>
      </c>
      <c r="M169" s="16"/>
      <c r="N169" t="s">
        <v>755</v>
      </c>
      <c r="O169" s="212"/>
    </row>
    <row r="170" spans="3:15" ht="15.75" customHeight="1">
      <c r="C170" s="5" t="s">
        <v>669</v>
      </c>
      <c r="H170" s="277"/>
      <c r="I170" s="16"/>
      <c r="J170" s="277"/>
      <c r="K170" s="21"/>
      <c r="L170" s="277"/>
      <c r="M170" s="16"/>
      <c r="O170" s="212"/>
    </row>
    <row r="171" spans="3:15" ht="15.75" customHeight="1">
      <c r="C171" s="5" t="s">
        <v>120</v>
      </c>
      <c r="H171" s="277">
        <f>IF(VLOOKUP(GAS!N171,'GAS ASCII'!$B$2:$C$210,2)&gt;=500000,VLOOKUP(GAS!N171,'GAS ASCII'!$B$2:$C$210,2)/1000000,IF(VLOOKUP(GAS!N171,'GAS ASCII'!$B$2:$C$210,2)&lt;=0,"……………….","*"))</f>
        <v>2.17</v>
      </c>
      <c r="I171" s="16"/>
      <c r="J171" s="277">
        <f>IF(VLOOKUP(GAS!N171,'GAS ASCII'!$B$2:$D$210,3)&gt;=500000,VLOOKUP(GAS!N171,'GAS ASCII'!$B$2:$D$210,3)/-1000000,IF(VLOOKUP(GAS!N171,'GAS ASCII'!$B$2:$D$210,3)&lt;=0,0,"*"))</f>
        <v>0</v>
      </c>
      <c r="K171" s="21"/>
      <c r="L171" s="277">
        <f>IF(VLOOKUP(GAS!N171,'GAS ASCII'!$B$2:$E$210,4)&gt;=500000,VLOOKUP(GAS!N171,'GAS ASCII'!$B$2:$E$210,4)/1000000,IF(VLOOKUP(GAS!N171,'GAS ASCII'!$B$2:$E$210,4)&lt;=0,"……………….","*"))</f>
        <v>2.17</v>
      </c>
      <c r="M171" s="16"/>
      <c r="N171" t="s">
        <v>1155</v>
      </c>
      <c r="O171" s="212"/>
    </row>
    <row r="172" spans="3:15" ht="15.75" customHeight="1">
      <c r="C172" s="5" t="s">
        <v>113</v>
      </c>
      <c r="H172" s="277">
        <f>IF(VLOOKUP(GAS!N172,'GAS ASCII'!$B$2:$C$210,2)&gt;=500000,VLOOKUP(GAS!N172,'GAS ASCII'!$B$2:$C$210,2)/1000000,IF(VLOOKUP(GAS!N172,'GAS ASCII'!$B$2:$C$210,2)&lt;=0,"……………….","*"))</f>
        <v>27.018</v>
      </c>
      <c r="I172" s="16"/>
      <c r="J172" s="277">
        <f>IF(VLOOKUP(GAS!N172,'GAS ASCII'!$B$2:$D$210,3)&gt;=500000,VLOOKUP(GAS!N172,'GAS ASCII'!$B$2:$D$210,3)/-1000000,IF(VLOOKUP(GAS!N172,'GAS ASCII'!$B$2:$D$210,3)&lt;=0,0,"*"))</f>
        <v>0</v>
      </c>
      <c r="K172" s="21"/>
      <c r="L172" s="277">
        <f>IF(VLOOKUP(GAS!N172,'GAS ASCII'!$B$2:$E$210,4)&gt;=500000,VLOOKUP(GAS!N172,'GAS ASCII'!$B$2:$E$210,4)/1000000,IF(VLOOKUP(GAS!N172,'GAS ASCII'!$B$2:$E$210,4)&lt;=0,"……………….","*"))</f>
        <v>27.018</v>
      </c>
      <c r="M172" s="16"/>
      <c r="N172" t="s">
        <v>1157</v>
      </c>
      <c r="O172" s="212"/>
    </row>
    <row r="173" spans="3:15" ht="15.75" customHeight="1">
      <c r="C173" s="5" t="s">
        <v>576</v>
      </c>
      <c r="H173" s="277">
        <f>IF(VLOOKUP(GAS!N173,'GAS ASCII'!$B$2:$C$210,2)&gt;=500000,VLOOKUP(GAS!N173,'GAS ASCII'!$B$2:$C$210,2)/1000000,IF(VLOOKUP(GAS!N173,'GAS ASCII'!$B$2:$C$210,2)&lt;=0,"……………….","*"))</f>
        <v>15.97</v>
      </c>
      <c r="I173" s="16"/>
      <c r="J173" s="277">
        <f>IF(VLOOKUP(GAS!N173,'GAS ASCII'!$B$2:$D$210,3)&gt;=500000,VLOOKUP(GAS!N173,'GAS ASCII'!$B$2:$D$210,3)/-1000000,IF(VLOOKUP(GAS!N173,'GAS ASCII'!$B$2:$D$210,3)&lt;=0,0,"*"))</f>
        <v>-1.509</v>
      </c>
      <c r="K173" s="21"/>
      <c r="L173" s="277">
        <f>IF(VLOOKUP(GAS!N173,'GAS ASCII'!$B$2:$E$210,4)&gt;=500000,VLOOKUP(GAS!N173,'GAS ASCII'!$B$2:$E$210,4)/1000000,IF(VLOOKUP(GAS!N173,'GAS ASCII'!$B$2:$E$210,4)&lt;=0,"……………….","*"))</f>
        <v>14.461</v>
      </c>
      <c r="M173" s="16"/>
      <c r="N173" s="297" t="s">
        <v>1158</v>
      </c>
      <c r="O173" s="212"/>
    </row>
    <row r="174" spans="3:15" ht="30.75" customHeight="1">
      <c r="C174" s="5" t="s">
        <v>703</v>
      </c>
      <c r="H174" s="277">
        <f>IF(VLOOKUP(GAS!N174,'GAS ASCII'!$B$2:$C$210,2)&gt;=500000,VLOOKUP(GAS!N174,'GAS ASCII'!$B$2:$C$210,2)/1000000,IF(VLOOKUP(GAS!N174,'GAS ASCII'!$B$2:$C$210,2)&lt;=0,"……………….","*"))</f>
        <v>12634.08125</v>
      </c>
      <c r="I174" s="16"/>
      <c r="J174" s="277">
        <f>IF(VLOOKUP(GAS!N174,'GAS ASCII'!$B$2:$D$210,3)&gt;=500000,VLOOKUP(GAS!N174,'GAS ASCII'!$B$2:$D$210,3)/-1000000,IF(VLOOKUP(GAS!N174,'GAS ASCII'!$B$2:$D$210,3)&lt;=0,0,"*"))</f>
        <v>-460</v>
      </c>
      <c r="K174" s="21"/>
      <c r="L174" s="277">
        <f>IF(VLOOKUP(GAS!N174,'GAS ASCII'!$B$2:$E$210,4)&gt;=500000,VLOOKUP(GAS!N174,'GAS ASCII'!$B$2:$E$210,4)/1000000,IF(VLOOKUP(GAS!N174,'GAS ASCII'!$B$2:$E$210,4)&lt;=0,"……………….","*"))</f>
        <v>12174.08125</v>
      </c>
      <c r="M174" s="16"/>
      <c r="N174" t="s">
        <v>18</v>
      </c>
      <c r="O174" s="212"/>
    </row>
    <row r="175" spans="3:15" ht="15.75" customHeight="1">
      <c r="C175" s="5" t="s">
        <v>134</v>
      </c>
      <c r="H175" s="277"/>
      <c r="I175" s="16"/>
      <c r="J175" s="277"/>
      <c r="K175" s="16"/>
      <c r="L175" s="277"/>
      <c r="M175" s="16"/>
      <c r="O175" s="212"/>
    </row>
    <row r="176" spans="3:15" ht="15.75" customHeight="1">
      <c r="C176" s="5" t="s">
        <v>19</v>
      </c>
      <c r="H176" s="277">
        <f>IF(VLOOKUP(GAS!N176,'GAS ASCII'!$B$2:$C$210,2)&gt;=500000,VLOOKUP(GAS!N176,'GAS ASCII'!$B$2:$C$210,2)/1000000,IF(VLOOKUP(GAS!N176,'GAS ASCII'!$B$2:$C$210,2)&lt;=0,"……………….","*"))</f>
        <v>13.318</v>
      </c>
      <c r="I176" s="16"/>
      <c r="J176" s="277">
        <f>IF(VLOOKUP(GAS!N176,'GAS ASCII'!$B$2:$D$210,3)&gt;=500000,VLOOKUP(GAS!N176,'GAS ASCII'!$B$2:$D$210,3)/-1000000,IF(VLOOKUP(GAS!N176,'GAS ASCII'!$B$2:$D$210,3)&lt;=0,0,"*"))</f>
        <v>0</v>
      </c>
      <c r="K176" s="21"/>
      <c r="L176" s="277">
        <f>IF(VLOOKUP(GAS!N176,'GAS ASCII'!$B$2:$E$210,4)&gt;=500000,VLOOKUP(GAS!N176,'GAS ASCII'!$B$2:$E$210,4)/1000000,IF(VLOOKUP(GAS!N176,'GAS ASCII'!$B$2:$E$210,4)&lt;=0,"……………….","*"))</f>
        <v>13.318</v>
      </c>
      <c r="M176" s="16"/>
      <c r="N176" t="s">
        <v>346</v>
      </c>
      <c r="O176" s="212"/>
    </row>
    <row r="177" spans="3:15" ht="15.75" customHeight="1">
      <c r="C177" s="5" t="s">
        <v>273</v>
      </c>
      <c r="H177" s="277">
        <f>IF(VLOOKUP(GAS!N177,'GAS ASCII'!$B$2:$C$210,2)&gt;=500000,VLOOKUP(GAS!N177,'GAS ASCII'!$B$2:$C$210,2)/1000000,IF(VLOOKUP(GAS!N177,'GAS ASCII'!$B$2:$C$210,2)&lt;=0,"……………….","*"))</f>
        <v>310.939</v>
      </c>
      <c r="I177" s="16"/>
      <c r="J177" s="277">
        <f>IF(VLOOKUP(GAS!N177,'GAS ASCII'!$B$2:$D$210,3)&gt;=500000,VLOOKUP(GAS!N177,'GAS ASCII'!$B$2:$D$210,3)/-1000000,IF(VLOOKUP(GAS!N177,'GAS ASCII'!$B$2:$D$210,3)&lt;=0,0,"*"))</f>
        <v>0</v>
      </c>
      <c r="K177" s="21"/>
      <c r="L177" s="277">
        <f>IF(VLOOKUP(GAS!N177,'GAS ASCII'!$B$2:$E$210,4)&gt;=500000,VLOOKUP(GAS!N177,'GAS ASCII'!$B$2:$E$210,4)/1000000,IF(VLOOKUP(GAS!N177,'GAS ASCII'!$B$2:$E$210,4)&lt;=0,"……………….","*"))</f>
        <v>310.939</v>
      </c>
      <c r="M177" s="16"/>
      <c r="N177" t="s">
        <v>249</v>
      </c>
      <c r="O177" s="212"/>
    </row>
    <row r="178" spans="3:15" ht="15.75" customHeight="1">
      <c r="C178" s="5" t="s">
        <v>1137</v>
      </c>
      <c r="H178" s="277">
        <f>IF(VLOOKUP(GAS!N178,'GAS ASCII'!$B$2:$C$210,2)&gt;=500000,VLOOKUP(GAS!N178,'GAS ASCII'!$B$2:$C$210,2)/1000000,IF(VLOOKUP(GAS!N178,'GAS ASCII'!$B$2:$C$210,2)&lt;=0,"……………….","*"))</f>
        <v>0.504</v>
      </c>
      <c r="I178" s="16"/>
      <c r="J178" s="277">
        <f>IF(VLOOKUP(GAS!N178,'GAS ASCII'!$B$2:$D$210,3)&gt;=500000,VLOOKUP(GAS!N178,'GAS ASCII'!$B$2:$D$210,3)/-1000000,IF(VLOOKUP(GAS!N178,'GAS ASCII'!$B$2:$D$210,3)&lt;=0,0,"*"))</f>
        <v>0</v>
      </c>
      <c r="K178" s="21"/>
      <c r="L178" s="277">
        <f>IF(VLOOKUP(GAS!N178,'GAS ASCII'!$B$2:$E$210,4)&gt;=500000,VLOOKUP(GAS!N178,'GAS ASCII'!$B$2:$E$210,4)/1000000,IF(VLOOKUP(GAS!N178,'GAS ASCII'!$B$2:$E$210,4)&lt;=0,"……………….","*"))</f>
        <v>0.504</v>
      </c>
      <c r="M178" s="16"/>
      <c r="N178" t="s">
        <v>250</v>
      </c>
      <c r="O178" s="212"/>
    </row>
    <row r="179" spans="3:15" ht="15.75" customHeight="1">
      <c r="C179" s="5" t="s">
        <v>925</v>
      </c>
      <c r="H179" s="277" t="str">
        <f>IF(VLOOKUP(GAS!N179,'GAS ASCII'!$B$2:$C$210,2)&gt;=500000,VLOOKUP(GAS!N179,'GAS ASCII'!$B$2:$C$210,2)/1000000,IF(VLOOKUP(GAS!N179,'GAS ASCII'!$B$2:$C$210,2)&lt;=0,"……………….","*"))</f>
        <v>*</v>
      </c>
      <c r="I179" s="16"/>
      <c r="J179" s="277">
        <f>IF(VLOOKUP(GAS!N179,'GAS ASCII'!$B$2:$D$210,3)&gt;=500000,VLOOKUP(GAS!N179,'GAS ASCII'!$B$2:$D$210,3)/-1000000,IF(VLOOKUP(GAS!N179,'GAS ASCII'!$B$2:$D$210,3)&lt;=0,0,"*"))</f>
        <v>0</v>
      </c>
      <c r="K179" s="16"/>
      <c r="L179" s="277" t="str">
        <f>IF(VLOOKUP(GAS!N179,'GAS ASCII'!$B$2:$E$210,4)&gt;=500000,VLOOKUP(GAS!N179,'GAS ASCII'!$B$2:$E$210,4)/1000000,IF(VLOOKUP(GAS!N179,'GAS ASCII'!$B$2:$E$210,4)&lt;=0,"……………….","*"))</f>
        <v>*</v>
      </c>
      <c r="M179" s="16"/>
      <c r="N179" t="s">
        <v>252</v>
      </c>
      <c r="O179" s="212"/>
    </row>
    <row r="180" spans="3:15" ht="15.75" customHeight="1">
      <c r="C180" s="5" t="s">
        <v>935</v>
      </c>
      <c r="H180" s="277">
        <f>IF(VLOOKUP(GAS!N180,'GAS ASCII'!$B$2:$C$210,2)&gt;=500000,VLOOKUP(GAS!N180,'GAS ASCII'!$B$2:$C$210,2)/1000000,IF(VLOOKUP(GAS!N180,'GAS ASCII'!$B$2:$C$210,2)&lt;=0,"……………….","*"))</f>
        <v>1429.297</v>
      </c>
      <c r="I180" s="16"/>
      <c r="J180" s="277">
        <f>IF(VLOOKUP(GAS!N180,'GAS ASCII'!$B$2:$D$210,3)&gt;=500000,VLOOKUP(GAS!N180,'GAS ASCII'!$B$2:$D$210,3)/-1000000,IF(VLOOKUP(GAS!N180,'GAS ASCII'!$B$2:$D$210,3)&lt;=0,0,"*"))</f>
        <v>-585.224</v>
      </c>
      <c r="K180" s="16"/>
      <c r="L180" s="277">
        <f>IF(VLOOKUP(GAS!N180,'GAS ASCII'!$B$2:$E$210,4)&gt;=500000,VLOOKUP(GAS!N180,'GAS ASCII'!$B$2:$E$210,4)/1000000,IF(VLOOKUP(GAS!N180,'GAS ASCII'!$B$2:$E$210,4)&lt;=0,"……………….","*"))</f>
        <v>844.073</v>
      </c>
      <c r="M180" s="16"/>
      <c r="N180" t="s">
        <v>254</v>
      </c>
      <c r="O180" s="212"/>
    </row>
    <row r="181" spans="3:15" ht="15.75" customHeight="1">
      <c r="C181" s="5" t="s">
        <v>1057</v>
      </c>
      <c r="H181" s="277">
        <f>IF(VLOOKUP(GAS!N181,'GAS ASCII'!$B$2:$C$210,2)&gt;=500000,VLOOKUP(GAS!N181,'GAS ASCII'!$B$2:$C$210,2)/1000000,IF(VLOOKUP(GAS!N181,'GAS ASCII'!$B$2:$C$210,2)&lt;=0,"……………….","*"))</f>
        <v>75.35243676</v>
      </c>
      <c r="I181" s="16"/>
      <c r="J181" s="277" t="str">
        <f>IF(VLOOKUP(GAS!N181,'GAS ASCII'!$B$2:$D$210,3)&gt;=500000,VLOOKUP(GAS!N181,'GAS ASCII'!$B$2:$D$210,3)/-1000000,IF(VLOOKUP(GAS!N181,'GAS ASCII'!$B$2:$D$210,3)&lt;=0,0,"*"))</f>
        <v>*</v>
      </c>
      <c r="K181" s="21"/>
      <c r="L181" s="277">
        <f>IF(VLOOKUP(GAS!N181,'GAS ASCII'!$B$2:$E$210,4)&gt;=500000,VLOOKUP(GAS!N181,'GAS ASCII'!$B$2:$E$210,4)/1000000,IF(VLOOKUP(GAS!N181,'GAS ASCII'!$B$2:$E$210,4)&lt;=0,"……………….","*"))</f>
        <v>75.34917109999999</v>
      </c>
      <c r="M181" s="16"/>
      <c r="N181" t="s">
        <v>256</v>
      </c>
      <c r="O181" s="212"/>
    </row>
    <row r="182" spans="3:15" ht="15.75" customHeight="1">
      <c r="C182" s="5" t="s">
        <v>206</v>
      </c>
      <c r="H182" s="277">
        <f>IF(VLOOKUP(GAS!N182,'GAS ASCII'!$B$2:$C$210,2)&gt;=500000,VLOOKUP(GAS!N182,'GAS ASCII'!$B$2:$C$210,2)/1000000,IF(VLOOKUP(GAS!N182,'GAS ASCII'!$B$2:$C$210,2)&lt;=0,"……………….","*"))</f>
        <v>1317.485</v>
      </c>
      <c r="I182" s="16"/>
      <c r="J182" s="277">
        <f>IF(VLOOKUP(GAS!N182,'GAS ASCII'!$B$2:$D$210,3)&gt;=500000,VLOOKUP(GAS!N182,'GAS ASCII'!$B$2:$D$210,3)/-1000000,IF(VLOOKUP(GAS!N182,'GAS ASCII'!$B$2:$D$210,3)&lt;=0,0,"*"))</f>
        <v>0</v>
      </c>
      <c r="K182" s="21"/>
      <c r="L182" s="277">
        <f>IF(VLOOKUP(GAS!N182,'GAS ASCII'!$B$2:$E$210,4)&gt;=500000,VLOOKUP(GAS!N182,'GAS ASCII'!$B$2:$E$210,4)/1000000,IF(VLOOKUP(GAS!N182,'GAS ASCII'!$B$2:$E$210,4)&lt;=0,"……………….","*"))</f>
        <v>1317.485</v>
      </c>
      <c r="M182" s="16"/>
      <c r="N182" t="s">
        <v>371</v>
      </c>
      <c r="O182" s="212"/>
    </row>
    <row r="183" spans="3:15" ht="30.75" customHeight="1">
      <c r="C183" s="5" t="s">
        <v>171</v>
      </c>
      <c r="H183" s="277">
        <f>IF(VLOOKUP(GAS!N183,'GAS ASCII'!$B$2:$C$210,2)&gt;=500000,VLOOKUP(GAS!N183,'GAS ASCII'!$B$2:$C$210,2)/1000000,IF(VLOOKUP(GAS!N183,'GAS ASCII'!$B$2:$C$210,2)&lt;=0,"……………….","*"))</f>
        <v>8.201</v>
      </c>
      <c r="I183" s="16"/>
      <c r="J183" s="277">
        <f>IF(VLOOKUP(GAS!N183,'GAS ASCII'!$B$2:$D$210,3)&gt;=500000,VLOOKUP(GAS!N183,'GAS ASCII'!$B$2:$D$210,3)/-1000000,IF(VLOOKUP(GAS!N183,'GAS ASCII'!$B$2:$D$210,3)&lt;=0,0,"*"))</f>
        <v>0</v>
      </c>
      <c r="K183" s="21"/>
      <c r="L183" s="277">
        <f>IF(VLOOKUP(GAS!N183,'GAS ASCII'!$B$2:$E$210,4)&gt;=500000,VLOOKUP(GAS!N183,'GAS ASCII'!$B$2:$E$210,4)/1000000,IF(VLOOKUP(GAS!N183,'GAS ASCII'!$B$2:$E$210,4)&lt;=0,"……………….","*"))</f>
        <v>8.201</v>
      </c>
      <c r="M183" s="16"/>
      <c r="N183" t="s">
        <v>623</v>
      </c>
      <c r="O183" s="212"/>
    </row>
    <row r="184" spans="3:15" ht="15.75" customHeight="1">
      <c r="C184" s="5" t="s">
        <v>679</v>
      </c>
      <c r="H184" s="277">
        <f>IF(VLOOKUP(GAS!N184,'GAS ASCII'!$B$2:$C$210,2)&gt;=500000,VLOOKUP(GAS!N184,'GAS ASCII'!$B$2:$C$210,2)/1000000,IF(VLOOKUP(GAS!N184,'GAS ASCII'!$B$2:$C$210,2)&lt;=0,"……………….","*"))</f>
        <v>206.079</v>
      </c>
      <c r="I184" s="16"/>
      <c r="J184" s="277">
        <f>IF(VLOOKUP(GAS!N184,'GAS ASCII'!$B$2:$D$210,3)&gt;=500000,VLOOKUP(GAS!N184,'GAS ASCII'!$B$2:$D$210,3)/-1000000,IF(VLOOKUP(GAS!N184,'GAS ASCII'!$B$2:$D$210,3)&lt;=0,0,"*"))</f>
        <v>0</v>
      </c>
      <c r="K184" s="21"/>
      <c r="L184" s="277">
        <f>IF(VLOOKUP(GAS!N184,'GAS ASCII'!$B$2:$E$210,4)&gt;=500000,VLOOKUP(GAS!N184,'GAS ASCII'!$B$2:$E$210,4)/1000000,IF(VLOOKUP(GAS!N184,'GAS ASCII'!$B$2:$E$210,4)&lt;=0,"……………….","*"))</f>
        <v>206.079</v>
      </c>
      <c r="M184" s="16"/>
      <c r="N184" t="s">
        <v>625</v>
      </c>
      <c r="O184" s="212"/>
    </row>
    <row r="185" spans="3:15" ht="15.75" customHeight="1">
      <c r="C185" s="5" t="s">
        <v>27</v>
      </c>
      <c r="H185" s="277">
        <f>IF(VLOOKUP(GAS!N185,'GAS ASCII'!$B$2:$C$210,2)&gt;=500000,VLOOKUP(GAS!N185,'GAS ASCII'!$B$2:$C$210,2)/1000000,IF(VLOOKUP(GAS!N185,'GAS ASCII'!$B$2:$C$210,2)&lt;=0,"……………….","*"))</f>
        <v>24.9297917</v>
      </c>
      <c r="I185" s="16"/>
      <c r="J185" s="277">
        <f>IF(VLOOKUP(GAS!N185,'GAS ASCII'!$B$2:$D$210,3)&gt;=500000,VLOOKUP(GAS!N185,'GAS ASCII'!$B$2:$D$210,3)/-1000000,IF(VLOOKUP(GAS!N185,'GAS ASCII'!$B$2:$D$210,3)&lt;=0,0,"*"))</f>
        <v>0</v>
      </c>
      <c r="K185" s="21"/>
      <c r="L185" s="277">
        <f>IF(VLOOKUP(GAS!N185,'GAS ASCII'!$B$2:$E$210,4)&gt;=500000,VLOOKUP(GAS!N185,'GAS ASCII'!$B$2:$E$210,4)/1000000,IF(VLOOKUP(GAS!N185,'GAS ASCII'!$B$2:$E$210,4)&lt;=0,"……………….","*"))</f>
        <v>24.9297917</v>
      </c>
      <c r="M185" s="16"/>
      <c r="N185" t="s">
        <v>944</v>
      </c>
      <c r="O185" s="212"/>
    </row>
    <row r="186" spans="3:15" ht="15.75" customHeight="1">
      <c r="C186" s="5" t="s">
        <v>322</v>
      </c>
      <c r="H186" s="277">
        <f>IF(VLOOKUP(GAS!N186,'GAS ASCII'!$B$2:$C$210,2)&gt;=500000,VLOOKUP(GAS!N186,'GAS ASCII'!$B$2:$C$210,2)/1000000,IF(VLOOKUP(GAS!N186,'GAS ASCII'!$B$2:$C$210,2)&lt;=0,"……………….","*"))</f>
        <v>25.073781059999998</v>
      </c>
      <c r="I186" s="16"/>
      <c r="J186" s="277">
        <f>IF(VLOOKUP(GAS!N186,'GAS ASCII'!$B$2:$D$210,3)&gt;=500000,VLOOKUP(GAS!N186,'GAS ASCII'!$B$2:$D$210,3)/-1000000,IF(VLOOKUP(GAS!N186,'GAS ASCII'!$B$2:$D$210,3)&lt;=0,0,"*"))</f>
        <v>0</v>
      </c>
      <c r="K186" s="21"/>
      <c r="L186" s="277">
        <f>IF(VLOOKUP(GAS!N186,'GAS ASCII'!$B$2:$E$210,4)&gt;=500000,VLOOKUP(GAS!N186,'GAS ASCII'!$B$2:$E$210,4)/1000000,IF(VLOOKUP(GAS!N186,'GAS ASCII'!$B$2:$E$210,4)&lt;=0,"……………….","*"))</f>
        <v>25.073781059999998</v>
      </c>
      <c r="M186" s="16"/>
      <c r="N186" t="s">
        <v>1035</v>
      </c>
      <c r="O186" s="212"/>
    </row>
    <row r="187" spans="3:15" ht="15.75" customHeight="1">
      <c r="C187" s="5" t="s">
        <v>952</v>
      </c>
      <c r="H187" s="277">
        <f>IF(VLOOKUP(GAS!N187,'GAS ASCII'!$B$2:$C$210,2)&gt;=500000,VLOOKUP(GAS!N187,'GAS ASCII'!$B$2:$C$210,2)/1000000,IF(VLOOKUP(GAS!N187,'GAS ASCII'!$B$2:$C$210,2)&lt;=0,"……………….","*"))</f>
        <v>65.975</v>
      </c>
      <c r="I187" s="16"/>
      <c r="J187" s="277" t="str">
        <f>IF(VLOOKUP(GAS!N187,'GAS ASCII'!$B$2:$D$210,3)&gt;=500000,VLOOKUP(GAS!N187,'GAS ASCII'!$B$2:$D$210,3)/-1000000,IF(VLOOKUP(GAS!N187,'GAS ASCII'!$B$2:$D$210,3)&lt;=0,0,"*"))</f>
        <v>*</v>
      </c>
      <c r="K187" s="21"/>
      <c r="L187" s="277">
        <f>IF(VLOOKUP(GAS!N187,'GAS ASCII'!$B$2:$E$210,4)&gt;=500000,VLOOKUP(GAS!N187,'GAS ASCII'!$B$2:$E$210,4)/1000000,IF(VLOOKUP(GAS!N187,'GAS ASCII'!$B$2:$E$210,4)&lt;=0,"……………….","*"))</f>
        <v>65.959</v>
      </c>
      <c r="M187" s="16"/>
      <c r="N187" t="s">
        <v>406</v>
      </c>
      <c r="O187" s="212"/>
    </row>
    <row r="188" spans="3:15" ht="30.75" customHeight="1">
      <c r="C188" s="5" t="s">
        <v>616</v>
      </c>
      <c r="H188" s="277" t="str">
        <f>IF(VLOOKUP(GAS!N188,'GAS ASCII'!$B$2:$C$210,2)&gt;=500000,VLOOKUP(GAS!N188,'GAS ASCII'!$B$2:$C$210,2)/1000000,IF(VLOOKUP(GAS!N188,'GAS ASCII'!$B$2:$C$210,2)&lt;=0,"……………….","*"))</f>
        <v>*</v>
      </c>
      <c r="I188" s="16"/>
      <c r="J188" s="277">
        <f>IF(VLOOKUP(GAS!N188,'GAS ASCII'!$B$2:$D$210,3)&gt;=500000,VLOOKUP(GAS!N188,'GAS ASCII'!$B$2:$D$210,3)/-1000000,IF(VLOOKUP(GAS!N188,'GAS ASCII'!$B$2:$D$210,3)&lt;=0,0,"*"))</f>
        <v>0</v>
      </c>
      <c r="K188" s="21"/>
      <c r="L188" s="277" t="str">
        <f>IF(VLOOKUP(GAS!N188,'GAS ASCII'!$B$2:$E$210,4)&gt;=500000,VLOOKUP(GAS!N188,'GAS ASCII'!$B$2:$E$210,4)/1000000,IF(VLOOKUP(GAS!N188,'GAS ASCII'!$B$2:$E$210,4)&lt;=0,"……………….","*"))</f>
        <v>*</v>
      </c>
      <c r="M188" s="16"/>
      <c r="N188" t="s">
        <v>677</v>
      </c>
      <c r="O188" s="212"/>
    </row>
    <row r="189" spans="3:15" ht="15.75" customHeight="1">
      <c r="C189" s="5" t="s">
        <v>757</v>
      </c>
      <c r="H189" s="277">
        <f>IF(VLOOKUP(GAS!N189,'GAS ASCII'!$B$2:$C$210,2)&gt;=500000,VLOOKUP(GAS!N189,'GAS ASCII'!$B$2:$C$210,2)/1000000,IF(VLOOKUP(GAS!N189,'GAS ASCII'!$B$2:$C$210,2)&lt;=0,"……………….","*"))</f>
        <v>55404.293</v>
      </c>
      <c r="I189" s="16"/>
      <c r="J189" s="277">
        <f>IF(VLOOKUP(GAS!N189,'GAS ASCII'!$B$2:$D$210,3)&gt;=500000,VLOOKUP(GAS!N189,'GAS ASCII'!$B$2:$D$210,3)/-1000000,IF(VLOOKUP(GAS!N189,'GAS ASCII'!$B$2:$D$210,3)&lt;=0,0,"*"))</f>
        <v>-2607.932</v>
      </c>
      <c r="K189" s="131"/>
      <c r="L189" s="277">
        <f>IF(VLOOKUP(GAS!N189,'GAS ASCII'!$B$2:$E$210,4)&gt;=500000,VLOOKUP(GAS!N189,'GAS ASCII'!$B$2:$E$210,4)/1000000,IF(VLOOKUP(GAS!N189,'GAS ASCII'!$B$2:$E$210,4)&lt;=0,"……………….","*"))</f>
        <v>52796.361</v>
      </c>
      <c r="M189" s="16"/>
      <c r="N189" t="s">
        <v>408</v>
      </c>
      <c r="O189" s="212"/>
    </row>
    <row r="190" spans="3:15" ht="15.75" customHeight="1">
      <c r="C190" s="5" t="s">
        <v>929</v>
      </c>
      <c r="H190" s="277">
        <f>IF(VLOOKUP(GAS!N190,'GAS ASCII'!$B$2:$C$210,2)&gt;=500000,VLOOKUP(GAS!N190,'GAS ASCII'!$B$2:$C$210,2)/1000000,IF(VLOOKUP(GAS!N190,'GAS ASCII'!$B$2:$C$210,2)&lt;=0,"……………….","*"))</f>
        <v>1383.309</v>
      </c>
      <c r="I190" s="16"/>
      <c r="J190" s="277">
        <f>IF(VLOOKUP(GAS!N190,'GAS ASCII'!$B$2:$D$210,3)&gt;=500000,VLOOKUP(GAS!N190,'GAS ASCII'!$B$2:$D$210,3)/-1000000,IF(VLOOKUP(GAS!N190,'GAS ASCII'!$B$2:$D$210,3)&lt;=0,0,"*"))</f>
        <v>0</v>
      </c>
      <c r="K190" s="21"/>
      <c r="L190" s="277">
        <f>IF(VLOOKUP(GAS!N190,'GAS ASCII'!$B$2:$E$210,4)&gt;=500000,VLOOKUP(GAS!N190,'GAS ASCII'!$B$2:$E$210,4)/1000000,IF(VLOOKUP(GAS!N190,'GAS ASCII'!$B$2:$E$210,4)&lt;=0,"……………….","*"))</f>
        <v>1383.309</v>
      </c>
      <c r="M190" s="16"/>
      <c r="N190" t="s">
        <v>410</v>
      </c>
      <c r="O190" s="212"/>
    </row>
    <row r="191" spans="3:15" ht="15.75" customHeight="1">
      <c r="C191" s="5" t="s">
        <v>436</v>
      </c>
      <c r="H191" s="277">
        <f>IF(VLOOKUP(GAS!N191,'GAS ASCII'!$B$2:$C$210,2)&gt;=500000,VLOOKUP(GAS!N191,'GAS ASCII'!$B$2:$C$210,2)/1000000,IF(VLOOKUP(GAS!N191,'GAS ASCII'!$B$2:$C$210,2)&lt;=0,"……………….","*"))</f>
        <v>76.042</v>
      </c>
      <c r="I191" s="16"/>
      <c r="J191" s="277">
        <f>IF(VLOOKUP(GAS!N191,'GAS ASCII'!$B$2:$D$210,3)&gt;=500000,VLOOKUP(GAS!N191,'GAS ASCII'!$B$2:$D$210,3)/-1000000,IF(VLOOKUP(GAS!N191,'GAS ASCII'!$B$2:$D$210,3)&lt;=0,0,"*"))</f>
        <v>-30.095</v>
      </c>
      <c r="K191" s="21"/>
      <c r="L191" s="277">
        <f>IF(VLOOKUP(GAS!N191,'GAS ASCII'!$B$2:$E$210,4)&gt;=500000,VLOOKUP(GAS!N191,'GAS ASCII'!$B$2:$E$210,4)/1000000,IF(VLOOKUP(GAS!N191,'GAS ASCII'!$B$2:$E$210,4)&lt;=0,"……………….","*"))</f>
        <v>45.947</v>
      </c>
      <c r="M191" s="16"/>
      <c r="N191" t="s">
        <v>1102</v>
      </c>
      <c r="O191" s="212"/>
    </row>
    <row r="192" spans="3:15" ht="15.75" customHeight="1">
      <c r="C192" s="5" t="s">
        <v>118</v>
      </c>
      <c r="H192" s="277">
        <f>IF(VLOOKUP(GAS!N192,'GAS ASCII'!$B$2:$C$210,2)&gt;=500000,VLOOKUP(GAS!N192,'GAS ASCII'!$B$2:$C$210,2)/1000000,IF(VLOOKUP(GAS!N192,'GAS ASCII'!$B$2:$C$210,2)&lt;=0,"……………….","*"))</f>
        <v>7.0041</v>
      </c>
      <c r="I192" s="16"/>
      <c r="J192" s="277">
        <f>IF(VLOOKUP(GAS!N192,'GAS ASCII'!$B$2:$D$210,3)&gt;=500000,VLOOKUP(GAS!N192,'GAS ASCII'!$B$2:$D$210,3)/-1000000,IF(VLOOKUP(GAS!N192,'GAS ASCII'!$B$2:$D$210,3)&lt;=0,0,"*"))</f>
        <v>0</v>
      </c>
      <c r="K192" s="21"/>
      <c r="L192" s="277">
        <f>IF(VLOOKUP(GAS!N192,'GAS ASCII'!$B$2:$E$210,4)&gt;=500000,VLOOKUP(GAS!N192,'GAS ASCII'!$B$2:$E$210,4)/1000000,IF(VLOOKUP(GAS!N192,'GAS ASCII'!$B$2:$E$210,4)&lt;=0,"……………….","*"))</f>
        <v>7.0041</v>
      </c>
      <c r="M192" s="16"/>
      <c r="N192" t="s">
        <v>1104</v>
      </c>
      <c r="O192" s="212"/>
    </row>
    <row r="193" spans="3:15" ht="15.75" customHeight="1">
      <c r="C193" s="5" t="s">
        <v>324</v>
      </c>
      <c r="H193" s="277">
        <f>IF(VLOOKUP(GAS!N193,'GAS ASCII'!$B$2:$C$210,2)&gt;=500000,VLOOKUP(GAS!N193,'GAS ASCII'!$B$2:$C$210,2)/1000000,IF(VLOOKUP(GAS!N193,'GAS ASCII'!$B$2:$C$210,2)&lt;=0,"……………….","*"))</f>
        <v>260.366</v>
      </c>
      <c r="I193" s="16"/>
      <c r="J193" s="277">
        <f>IF(VLOOKUP(GAS!N193,'GAS ASCII'!$B$2:$D$210,3)&gt;=500000,VLOOKUP(GAS!N193,'GAS ASCII'!$B$2:$D$210,3)/-1000000,IF(VLOOKUP(GAS!N193,'GAS ASCII'!$B$2:$D$210,3)&lt;=0,0,"*"))</f>
        <v>0</v>
      </c>
      <c r="K193" s="21"/>
      <c r="L193" s="277">
        <f>IF(VLOOKUP(GAS!N193,'GAS ASCII'!$B$2:$E$210,4)&gt;=500000,VLOOKUP(GAS!N193,'GAS ASCII'!$B$2:$E$210,4)/1000000,IF(VLOOKUP(GAS!N193,'GAS ASCII'!$B$2:$E$210,4)&lt;=0,"……………….","*"))</f>
        <v>260.366</v>
      </c>
      <c r="M193" s="16"/>
      <c r="N193" t="s">
        <v>1106</v>
      </c>
      <c r="O193" s="212"/>
    </row>
    <row r="194" spans="3:15" ht="15.75" customHeight="1">
      <c r="C194" s="5" t="s">
        <v>687</v>
      </c>
      <c r="H194" s="277">
        <f>IF(VLOOKUP(GAS!N194,'GAS ASCII'!$B$2:$C$210,2)&gt;=500000,VLOOKUP(GAS!N194,'GAS ASCII'!$B$2:$C$210,2)/1000000,IF(VLOOKUP(GAS!N194,'GAS ASCII'!$B$2:$C$210,2)&lt;=0,"……………….","*"))</f>
        <v>3845.496</v>
      </c>
      <c r="I194" s="16"/>
      <c r="J194" s="277">
        <f>IF(VLOOKUP(GAS!N194,'GAS ASCII'!$B$2:$D$210,3)&gt;=500000,VLOOKUP(GAS!N194,'GAS ASCII'!$B$2:$D$210,3)/-1000000,IF(VLOOKUP(GAS!N194,'GAS ASCII'!$B$2:$D$210,3)&lt;=0,0,"*"))</f>
        <v>0</v>
      </c>
      <c r="K194" s="21"/>
      <c r="L194" s="277">
        <f>IF(VLOOKUP(GAS!N194,'GAS ASCII'!$B$2:$E$210,4)&gt;=500000,VLOOKUP(GAS!N194,'GAS ASCII'!$B$2:$E$210,4)/1000000,IF(VLOOKUP(GAS!N194,'GAS ASCII'!$B$2:$E$210,4)&lt;=0,"……………….","*"))</f>
        <v>3845.496</v>
      </c>
      <c r="M194" s="16"/>
      <c r="N194" t="s">
        <v>1087</v>
      </c>
      <c r="O194" s="212"/>
    </row>
    <row r="195" spans="3:15" ht="15.75" customHeight="1">
      <c r="C195" s="5" t="s">
        <v>666</v>
      </c>
      <c r="H195" s="277">
        <f>IF(VLOOKUP(GAS!N195,'GAS ASCII'!$B$2:$C$210,2)&gt;=500000,VLOOKUP(GAS!N195,'GAS ASCII'!$B$2:$C$210,2)/1000000,IF(VLOOKUP(GAS!N195,'GAS ASCII'!$B$2:$C$210,2)&lt;=0,"……………….","*"))</f>
        <v>142.348</v>
      </c>
      <c r="I195" s="16"/>
      <c r="J195" s="277">
        <f>IF(VLOOKUP(GAS!N195,'GAS ASCII'!$B$2:$D$210,3)&gt;=500000,VLOOKUP(GAS!N195,'GAS ASCII'!$B$2:$D$210,3)/-1000000,IF(VLOOKUP(GAS!N195,'GAS ASCII'!$B$2:$D$210,3)&lt;=0,0,"*"))</f>
        <v>0</v>
      </c>
      <c r="K195" s="21"/>
      <c r="L195" s="277">
        <f>IF(VLOOKUP(GAS!N195,'GAS ASCII'!$B$2:$E$210,4)&gt;=500000,VLOOKUP(GAS!N195,'GAS ASCII'!$B$2:$E$210,4)/1000000,IF(VLOOKUP(GAS!N195,'GAS ASCII'!$B$2:$E$210,4)&lt;=0,"……………….","*"))</f>
        <v>142.348</v>
      </c>
      <c r="M195" s="16"/>
      <c r="N195" t="s">
        <v>1089</v>
      </c>
      <c r="O195" s="212"/>
    </row>
    <row r="196" spans="3:15" ht="30.75" customHeight="1">
      <c r="C196" s="5" t="s">
        <v>941</v>
      </c>
      <c r="H196" s="277">
        <f>IF(VLOOKUP(GAS!N196,'GAS ASCII'!$B$2:$C$210,2)&gt;=500000,VLOOKUP(GAS!N196,'GAS ASCII'!$B$2:$C$210,2)/1000000,IF(VLOOKUP(GAS!N196,'GAS ASCII'!$B$2:$C$210,2)&lt;=0,"……………….","*"))</f>
        <v>2103.132</v>
      </c>
      <c r="I196" s="16"/>
      <c r="J196" s="277">
        <f>IF(VLOOKUP(GAS!N196,'GAS ASCII'!$B$2:$D$210,3)&gt;=500000,VLOOKUP(GAS!N196,'GAS ASCII'!$B$2:$D$210,3)/-1000000,IF(VLOOKUP(GAS!N196,'GAS ASCII'!$B$2:$D$210,3)&lt;=0,0,"*"))</f>
        <v>0</v>
      </c>
      <c r="K196" s="21"/>
      <c r="L196" s="277">
        <f>IF(VLOOKUP(GAS!N196,'GAS ASCII'!$B$2:$E$210,4)&gt;=500000,VLOOKUP(GAS!N196,'GAS ASCII'!$B$2:$E$210,4)/1000000,IF(VLOOKUP(GAS!N196,'GAS ASCII'!$B$2:$E$210,4)&lt;=0,"……………….","*"))</f>
        <v>2103.132</v>
      </c>
      <c r="M196" s="16"/>
      <c r="N196" t="s">
        <v>1091</v>
      </c>
      <c r="O196" s="212"/>
    </row>
    <row r="197" spans="3:15" ht="15.75" customHeight="1">
      <c r="C197" s="5" t="s">
        <v>924</v>
      </c>
      <c r="H197" s="277">
        <f>IF(VLOOKUP(GAS!N197,'GAS ASCII'!$B$2:$C$210,2)&gt;=500000,VLOOKUP(GAS!N197,'GAS ASCII'!$B$2:$C$210,2)/1000000,IF(VLOOKUP(GAS!N197,'GAS ASCII'!$B$2:$C$210,2)&lt;=0,"……………….","*"))</f>
        <v>713.5</v>
      </c>
      <c r="I197" s="16"/>
      <c r="J197" s="277">
        <f>IF(VLOOKUP(GAS!N197,'GAS ASCII'!$B$2:$D$210,3)&gt;=500000,VLOOKUP(GAS!N197,'GAS ASCII'!$B$2:$D$210,3)/-1000000,IF(VLOOKUP(GAS!N197,'GAS ASCII'!$B$2:$D$210,3)&lt;=0,0,"*"))</f>
        <v>-283.378</v>
      </c>
      <c r="K197" s="21"/>
      <c r="L197" s="277">
        <f>IF(VLOOKUP(GAS!N197,'GAS ASCII'!$B$2:$E$210,4)&gt;=500000,VLOOKUP(GAS!N197,'GAS ASCII'!$B$2:$E$210,4)/1000000,IF(VLOOKUP(GAS!N197,'GAS ASCII'!$B$2:$E$210,4)&lt;=0,"……………….","*"))</f>
        <v>430.122</v>
      </c>
      <c r="M197" s="16"/>
      <c r="N197" t="s">
        <v>1093</v>
      </c>
      <c r="O197" s="212"/>
    </row>
    <row r="198" spans="3:15" ht="15.75" customHeight="1">
      <c r="C198" s="96" t="s">
        <v>513</v>
      </c>
      <c r="H198" s="277"/>
      <c r="I198" s="16"/>
      <c r="J198" s="277"/>
      <c r="K198" s="21"/>
      <c r="L198" s="277"/>
      <c r="M198" s="16"/>
      <c r="O198" s="212"/>
    </row>
    <row r="199" spans="3:15" ht="15.75" customHeight="1">
      <c r="C199" s="5" t="s">
        <v>114</v>
      </c>
      <c r="H199" s="277">
        <f>IF(VLOOKUP(GAS!N199,'GAS ASCII'!$B$2:$C$210,2)&gt;=500000,VLOOKUP(GAS!N199,'GAS ASCII'!$B$2:$C$210,2)/1000000,IF(VLOOKUP(GAS!N199,'GAS ASCII'!$B$2:$C$210,2)&lt;=0,"……………….","*"))</f>
        <v>2940.328</v>
      </c>
      <c r="I199" s="16"/>
      <c r="J199" s="277">
        <f>IF(VLOOKUP(GAS!N199,'GAS ASCII'!$B$2:$D$210,3)&gt;=500000,VLOOKUP(GAS!N199,'GAS ASCII'!$B$2:$D$210,3)/-1000000,IF(VLOOKUP(GAS!N199,'GAS ASCII'!$B$2:$D$210,3)&lt;=0,0,"*"))</f>
        <v>-991.582</v>
      </c>
      <c r="K199" s="21"/>
      <c r="L199" s="277">
        <f>IF(VLOOKUP(GAS!N199,'GAS ASCII'!$B$2:$E$210,4)&gt;=500000,VLOOKUP(GAS!N199,'GAS ASCII'!$B$2:$E$210,4)/1000000,IF(VLOOKUP(GAS!N199,'GAS ASCII'!$B$2:$E$210,4)&lt;=0,"……………….","*"))</f>
        <v>1948.746</v>
      </c>
      <c r="M199" s="16"/>
      <c r="N199" t="s">
        <v>717</v>
      </c>
      <c r="O199" s="212"/>
    </row>
    <row r="200" spans="3:15" ht="15.75" customHeight="1">
      <c r="C200" s="96" t="s">
        <v>514</v>
      </c>
      <c r="H200" s="277" t="str">
        <f>IF(VLOOKUP(GAS!N200,'GAS ASCII'!$B$2:$C$210,2)&gt;=500000,VLOOKUP(GAS!N200,'GAS ASCII'!$B$2:$C$210,2)/1000000,IF(VLOOKUP(GAS!N200,'GAS ASCII'!$B$2:$C$210,2)&lt;=0,"……………….","*"))</f>
        <v>*</v>
      </c>
      <c r="I200" s="16"/>
      <c r="J200" s="277">
        <f>IF(VLOOKUP(GAS!N200,'GAS ASCII'!$B$2:$D$210,3)&gt;=500000,VLOOKUP(GAS!N200,'GAS ASCII'!$B$2:$D$210,3)/-1000000,IF(VLOOKUP(GAS!N200,'GAS ASCII'!$B$2:$D$210,3)&lt;=0,0,"*"))</f>
        <v>0</v>
      </c>
      <c r="K200" s="21"/>
      <c r="L200" s="277" t="str">
        <f>IF(VLOOKUP(GAS!N200,'GAS ASCII'!$B$2:$E$210,4)&gt;=500000,VLOOKUP(GAS!N200,'GAS ASCII'!$B$2:$E$210,4)/1000000,IF(VLOOKUP(GAS!N200,'GAS ASCII'!$B$2:$E$210,4)&lt;=0,"……………….","*"))</f>
        <v>*</v>
      </c>
      <c r="M200" s="16"/>
      <c r="N200" t="s">
        <v>719</v>
      </c>
      <c r="O200" s="212"/>
    </row>
    <row r="201" spans="3:15" ht="15.75" customHeight="1">
      <c r="C201" s="96" t="s">
        <v>515</v>
      </c>
      <c r="H201" s="277">
        <f>IF(VLOOKUP(GAS!N201,'GAS ASCII'!$B$2:$C$210,2)&gt;=500000,VLOOKUP(GAS!N201,'GAS ASCII'!$B$2:$C$210,2)/1000000,IF(VLOOKUP(GAS!N201,'GAS ASCII'!$B$2:$C$210,2)&lt;=0,"……………….","*"))</f>
        <v>696.4444664800001</v>
      </c>
      <c r="I201" s="16"/>
      <c r="J201" s="277">
        <f>IF(VLOOKUP(GAS!N201,'GAS ASCII'!$B$2:$D$210,3)&gt;=500000,VLOOKUP(GAS!N201,'GAS ASCII'!$B$2:$D$210,3)/-1000000,IF(VLOOKUP(GAS!N201,'GAS ASCII'!$B$2:$D$210,3)&lt;=0,0,"*"))</f>
        <v>0</v>
      </c>
      <c r="K201" s="21"/>
      <c r="L201" s="277">
        <f>IF(VLOOKUP(GAS!N201,'GAS ASCII'!$B$2:$E$210,4)&gt;=500000,VLOOKUP(GAS!N201,'GAS ASCII'!$B$2:$E$210,4)/1000000,IF(VLOOKUP(GAS!N201,'GAS ASCII'!$B$2:$E$210,4)&lt;=0,"……………….","*"))</f>
        <v>696.4444664800001</v>
      </c>
      <c r="M201" s="16"/>
      <c r="N201" t="s">
        <v>721</v>
      </c>
      <c r="O201" s="212"/>
    </row>
    <row r="202" spans="3:15" ht="30.75" customHeight="1">
      <c r="C202" s="5" t="s">
        <v>516</v>
      </c>
      <c r="H202" s="277">
        <f>IF(VLOOKUP(GAS!N202,'GAS ASCII'!$B$2:$C$210,2)&gt;=500000,VLOOKUP(GAS!N202,'GAS ASCII'!$B$2:$C$210,2)/1000000,IF(VLOOKUP(GAS!N202,'GAS ASCII'!$B$2:$C$210,2)&lt;=0,"……………….","*"))</f>
        <v>36.588</v>
      </c>
      <c r="I202" s="16"/>
      <c r="J202" s="277">
        <f>IF(VLOOKUP(GAS!N202,'GAS ASCII'!$B$2:$D$210,3)&gt;=500000,VLOOKUP(GAS!N202,'GAS ASCII'!$B$2:$D$210,3)/-1000000,IF(VLOOKUP(GAS!N202,'GAS ASCII'!$B$2:$D$210,3)&lt;=0,0,"*"))</f>
        <v>0</v>
      </c>
      <c r="K202" s="21"/>
      <c r="L202" s="277">
        <f>IF(VLOOKUP(GAS!N202,'GAS ASCII'!$B$2:$E$210,4)&gt;=500000,VLOOKUP(GAS!N202,'GAS ASCII'!$B$2:$E$210,4)/1000000,IF(VLOOKUP(GAS!N202,'GAS ASCII'!$B$2:$E$210,4)&lt;=0,"……………….","*"))</f>
        <v>36.588</v>
      </c>
      <c r="M202" s="16"/>
      <c r="N202" t="s">
        <v>589</v>
      </c>
      <c r="O202" s="212"/>
    </row>
    <row r="203" spans="2:13" ht="15.75" customHeight="1">
      <c r="B203" s="62" t="s">
        <v>927</v>
      </c>
      <c r="H203" s="280">
        <f>SUM(H34:H202)+2</f>
        <v>3497668.1555520687</v>
      </c>
      <c r="I203" s="356"/>
      <c r="J203" s="280">
        <f>SUM(J34:J202)-1</f>
        <v>-210092.73665143998</v>
      </c>
      <c r="K203" s="281"/>
      <c r="L203" s="280">
        <f>H203+J203+1</f>
        <v>3287576.4189006286</v>
      </c>
      <c r="M203" s="281"/>
    </row>
    <row r="204" spans="2:13" ht="15.75" customHeight="1">
      <c r="B204" s="62" t="s">
        <v>86</v>
      </c>
      <c r="H204" s="280">
        <v>467.967</v>
      </c>
      <c r="I204" s="281"/>
      <c r="J204" s="280">
        <v>0</v>
      </c>
      <c r="K204" s="281"/>
      <c r="L204" s="280">
        <v>467.967</v>
      </c>
      <c r="M204" s="281"/>
    </row>
    <row r="205" spans="2:13" ht="15.75" customHeight="1">
      <c r="B205" s="62" t="s">
        <v>87</v>
      </c>
      <c r="H205" s="56">
        <f>SUM(H203:H204)</f>
        <v>3498136.122552069</v>
      </c>
      <c r="I205" s="366"/>
      <c r="J205" s="56">
        <f>SUM(J203:J204)</f>
        <v>-210092.73665143998</v>
      </c>
      <c r="K205" s="366"/>
      <c r="L205" s="56">
        <f>SUM(L203:L204)-1</f>
        <v>3288043.3859006288</v>
      </c>
      <c r="M205" s="366"/>
    </row>
    <row r="206" spans="2:13" ht="21.75" customHeight="1" thickBot="1">
      <c r="B206" s="59" t="s">
        <v>788</v>
      </c>
      <c r="C206" s="5"/>
      <c r="H206" s="172">
        <f>H31+H205+1</f>
        <v>3564524.1448555887</v>
      </c>
      <c r="I206" s="210"/>
      <c r="J206" s="172">
        <f>J205+J31</f>
        <v>-210099.87265143998</v>
      </c>
      <c r="K206" s="210"/>
      <c r="L206" s="172">
        <f>+H206+J206</f>
        <v>3354424.2722041486</v>
      </c>
      <c r="M206" s="210"/>
    </row>
    <row r="207" spans="1:13" ht="33.75" customHeight="1" thickTop="1">
      <c r="A207" s="99" t="s">
        <v>668</v>
      </c>
      <c r="B207" s="99"/>
      <c r="C207" s="100"/>
      <c r="D207" s="100"/>
      <c r="E207" s="48"/>
      <c r="F207" s="48"/>
      <c r="G207" s="48"/>
      <c r="H207" s="48"/>
      <c r="I207" s="48"/>
      <c r="J207" s="48"/>
      <c r="K207" s="48"/>
      <c r="L207" s="209"/>
      <c r="M207" s="48"/>
    </row>
    <row r="208" spans="1:13" ht="15">
      <c r="A208" s="62"/>
      <c r="B208" s="101" t="s">
        <v>919</v>
      </c>
      <c r="C208" s="62"/>
      <c r="D208" s="62"/>
      <c r="E208" s="62"/>
      <c r="F208" s="62"/>
      <c r="G208" s="62"/>
      <c r="H208" s="211"/>
      <c r="I208" s="62"/>
      <c r="J208" s="62"/>
      <c r="K208" s="62"/>
      <c r="L208" s="63"/>
      <c r="M208" s="62"/>
    </row>
    <row r="209" spans="1:13" ht="15.75" customHeight="1">
      <c r="A209" s="62"/>
      <c r="B209" s="62"/>
      <c r="C209" s="101" t="s">
        <v>571</v>
      </c>
      <c r="D209" s="62"/>
      <c r="E209" s="62"/>
      <c r="F209" s="62"/>
      <c r="G209" s="62"/>
      <c r="H209" s="62"/>
      <c r="I209" s="62"/>
      <c r="J209" s="62"/>
      <c r="K209" s="119">
        <v>15</v>
      </c>
      <c r="L209" s="102">
        <v>255.507711</v>
      </c>
      <c r="M209" s="62"/>
    </row>
    <row r="210" spans="1:13" ht="15.75" customHeight="1">
      <c r="A210" s="62"/>
      <c r="B210" s="62"/>
      <c r="C210" s="101" t="s">
        <v>570</v>
      </c>
      <c r="D210" s="62"/>
      <c r="E210" s="62"/>
      <c r="F210" s="62"/>
      <c r="G210" s="62"/>
      <c r="H210" s="62"/>
      <c r="I210" s="62"/>
      <c r="J210" s="62"/>
      <c r="K210" s="119">
        <v>16</v>
      </c>
      <c r="L210" s="102">
        <v>65.173301</v>
      </c>
      <c r="M210" s="62"/>
    </row>
    <row r="211" spans="1:13" ht="15.75" customHeight="1">
      <c r="A211" s="62"/>
      <c r="B211" s="62"/>
      <c r="C211" s="101" t="s">
        <v>686</v>
      </c>
      <c r="D211" s="62"/>
      <c r="E211" s="62"/>
      <c r="F211" s="62"/>
      <c r="G211" s="62"/>
      <c r="H211" s="62"/>
      <c r="I211" s="62"/>
      <c r="J211" s="62"/>
      <c r="K211" s="119">
        <v>17</v>
      </c>
      <c r="L211" s="102">
        <v>177.64962</v>
      </c>
      <c r="M211" s="62"/>
    </row>
    <row r="212" spans="1:13" ht="15.75" customHeight="1">
      <c r="A212" s="62"/>
      <c r="B212" s="62"/>
      <c r="C212" s="101" t="s">
        <v>1094</v>
      </c>
      <c r="D212" s="62"/>
      <c r="E212" s="62"/>
      <c r="F212" s="62"/>
      <c r="G212" s="62"/>
      <c r="H212" s="62"/>
      <c r="I212" s="62"/>
      <c r="J212" s="62"/>
      <c r="K212" s="103"/>
      <c r="L212" s="102">
        <f>L213-L211-L210-L209</f>
        <v>11.444666000000012</v>
      </c>
      <c r="M212" s="62"/>
    </row>
    <row r="213" spans="1:13" ht="18" customHeight="1" thickBot="1">
      <c r="A213" s="62"/>
      <c r="B213" s="101" t="s">
        <v>953</v>
      </c>
      <c r="C213" s="62"/>
      <c r="D213" s="62"/>
      <c r="E213" s="62"/>
      <c r="F213" s="62"/>
      <c r="G213" s="62"/>
      <c r="H213" s="62"/>
      <c r="I213" s="62"/>
      <c r="J213" s="62"/>
      <c r="K213" s="62"/>
      <c r="L213" s="104">
        <v>509.775298</v>
      </c>
      <c r="M213" s="105"/>
    </row>
    <row r="214" spans="1:13" ht="33.75" customHeight="1" thickTop="1">
      <c r="A214" s="62"/>
      <c r="B214" s="101" t="s">
        <v>317</v>
      </c>
      <c r="C214" s="62"/>
      <c r="D214" s="62"/>
      <c r="E214" s="62"/>
      <c r="F214" s="62"/>
      <c r="G214" s="62"/>
      <c r="H214" s="62"/>
      <c r="I214" s="62"/>
      <c r="J214" s="62"/>
      <c r="K214" s="62"/>
      <c r="L214" s="102"/>
      <c r="M214" s="62"/>
    </row>
    <row r="215" spans="1:13" ht="15.75" customHeight="1">
      <c r="A215" s="62"/>
      <c r="B215" s="62"/>
      <c r="C215" s="101" t="s">
        <v>121</v>
      </c>
      <c r="D215" s="62"/>
      <c r="E215" s="62"/>
      <c r="F215" s="62"/>
      <c r="G215" s="62"/>
      <c r="H215" s="62"/>
      <c r="I215" s="62"/>
      <c r="J215" s="62"/>
      <c r="K215" s="119" t="s">
        <v>349</v>
      </c>
      <c r="L215" s="102">
        <v>4551.671971</v>
      </c>
      <c r="M215" s="62"/>
    </row>
    <row r="216" spans="1:13" ht="15.75" customHeight="1">
      <c r="A216" s="62"/>
      <c r="B216" s="62"/>
      <c r="C216" s="101" t="s">
        <v>132</v>
      </c>
      <c r="D216" s="62"/>
      <c r="E216" s="62"/>
      <c r="F216" s="62"/>
      <c r="G216" s="62"/>
      <c r="H216" s="62"/>
      <c r="I216" s="62"/>
      <c r="J216" s="62"/>
      <c r="K216" s="103"/>
      <c r="L216" s="102">
        <v>45.04789</v>
      </c>
      <c r="M216" s="62"/>
    </row>
    <row r="217" spans="1:13" ht="15.75" customHeight="1">
      <c r="A217" s="62"/>
      <c r="B217" s="62"/>
      <c r="C217" s="101" t="s">
        <v>1094</v>
      </c>
      <c r="D217" s="62"/>
      <c r="E217" s="62"/>
      <c r="F217" s="62"/>
      <c r="G217" s="62"/>
      <c r="H217" s="62"/>
      <c r="I217" s="62"/>
      <c r="J217" s="62"/>
      <c r="K217" s="119"/>
      <c r="L217" s="102">
        <f>+L218-L215-L216</f>
        <v>6.567308999999845</v>
      </c>
      <c r="M217" s="62"/>
    </row>
    <row r="218" spans="1:13" ht="18" customHeight="1" thickBot="1">
      <c r="A218" s="62"/>
      <c r="B218" s="101" t="s">
        <v>123</v>
      </c>
      <c r="C218" s="62"/>
      <c r="D218" s="62"/>
      <c r="E218" s="62"/>
      <c r="F218" s="62"/>
      <c r="G218" s="62"/>
      <c r="H218" s="62"/>
      <c r="I218" s="62"/>
      <c r="J218" s="62"/>
      <c r="K218" s="103"/>
      <c r="L218" s="104">
        <v>4603.28717</v>
      </c>
      <c r="M218" s="105"/>
    </row>
    <row r="219" spans="1:13" ht="21" customHeight="1" thickBot="1" thickTop="1">
      <c r="A219" s="99" t="s">
        <v>620</v>
      </c>
      <c r="B219" s="99"/>
      <c r="C219" s="100"/>
      <c r="D219" s="100"/>
      <c r="E219" s="127"/>
      <c r="F219" s="127"/>
      <c r="G219" s="127"/>
      <c r="H219" s="127"/>
      <c r="I219" s="127"/>
      <c r="J219" s="127"/>
      <c r="K219" s="175"/>
      <c r="L219" s="79">
        <f>+L213+L218</f>
        <v>5113.062468</v>
      </c>
      <c r="M219" s="44"/>
    </row>
    <row r="220" spans="1:13" ht="33.75" customHeight="1" thickBot="1" thickTop="1">
      <c r="A220" s="18" t="s">
        <v>295</v>
      </c>
      <c r="B220" s="18"/>
      <c r="H220" s="84"/>
      <c r="I220" s="77"/>
      <c r="J220" s="84"/>
      <c r="K220" s="176"/>
      <c r="L220" s="79">
        <f>SUM(L206,L219,Nonmarketable!O15,Nonmarketable!O19,Nonmarketable!O23,Nonmarketable!O34,Nonmarketable!O49)-1</f>
        <v>3809712.943500349</v>
      </c>
      <c r="M220" s="123"/>
    </row>
    <row r="221" spans="1:13" s="48" customFormat="1" ht="39.75" customHeight="1" thickBot="1" thickTop="1">
      <c r="A221" s="259" t="s">
        <v>1062</v>
      </c>
      <c r="B221" s="128"/>
      <c r="C221" s="129"/>
      <c r="D221" s="129"/>
      <c r="E221" s="130"/>
      <c r="F221" s="130"/>
      <c r="G221" s="130"/>
      <c r="H221" s="130"/>
      <c r="I221" s="130"/>
      <c r="J221" s="130"/>
      <c r="K221" s="130"/>
      <c r="L221" s="260">
        <f>SUM(Marketable!P227,L220)+1</f>
        <v>7887618.111500349</v>
      </c>
      <c r="M221" s="95"/>
    </row>
    <row r="222" spans="1:13" ht="16.5" customHeight="1" thickTop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90"/>
      <c r="L222" s="126"/>
      <c r="M222" s="90"/>
    </row>
    <row r="223" spans="1:13" ht="16.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90"/>
      <c r="L223" s="126"/>
      <c r="M223" s="90"/>
    </row>
    <row r="224" spans="1:13" ht="16.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90"/>
      <c r="L224" s="126"/>
      <c r="M224" s="90"/>
    </row>
    <row r="225" spans="1:13" ht="16.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90"/>
      <c r="L225" s="126"/>
      <c r="M225" s="90"/>
    </row>
    <row r="226" spans="1:13" ht="16.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90"/>
      <c r="L226" s="126"/>
      <c r="M226" s="90"/>
    </row>
    <row r="227" spans="1:13" ht="16.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90"/>
      <c r="L227" s="126"/>
      <c r="M227" s="90"/>
    </row>
    <row r="228" spans="1:13" ht="16.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90"/>
      <c r="L228" s="126"/>
      <c r="M228" s="90"/>
    </row>
    <row r="229" spans="1:13" ht="16.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90"/>
      <c r="L229" s="126"/>
      <c r="M229" s="90"/>
    </row>
    <row r="230" spans="1:13" ht="16.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90"/>
      <c r="L230" s="126"/>
      <c r="M230" s="90"/>
    </row>
    <row r="231" spans="1:13" ht="16.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90"/>
      <c r="L231" s="126"/>
      <c r="M231" s="90"/>
    </row>
    <row r="232" spans="1:13" ht="16.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90"/>
      <c r="L232" s="126"/>
      <c r="M232" s="90"/>
    </row>
    <row r="233" spans="1:13" ht="16.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90"/>
      <c r="L233" s="126"/>
      <c r="M233" s="90"/>
    </row>
    <row r="234" spans="1:13" ht="16.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90"/>
      <c r="L234" s="126"/>
      <c r="M234" s="90"/>
    </row>
    <row r="235" spans="1:13" ht="16.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90"/>
      <c r="L235" s="126"/>
      <c r="M235" s="90"/>
    </row>
  </sheetData>
  <printOptions horizontalCentered="1"/>
  <pageMargins left="0" right="0" top="0.4" bottom="0.25" header="0" footer="0.18"/>
  <pageSetup fitToHeight="3" horizontalDpi="300" verticalDpi="300" orientation="portrait" scale="4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174"/>
  <sheetViews>
    <sheetView showGridLines="0" view="pageBreakPreview" zoomScale="75" zoomScaleNormal="80" zoomScaleSheetLayoutView="75" workbookViewId="0" topLeftCell="A1">
      <selection activeCell="A3" sqref="A3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62" customFormat="1" ht="15.75" customHeight="1">
      <c r="A1" s="273" t="s">
        <v>166</v>
      </c>
      <c r="B1" s="60" t="s">
        <v>81</v>
      </c>
      <c r="C1" s="60"/>
      <c r="D1" s="60"/>
      <c r="E1" s="61"/>
      <c r="F1" s="61"/>
      <c r="G1" s="61"/>
      <c r="H1" s="61"/>
      <c r="I1" s="61"/>
      <c r="J1" s="213"/>
      <c r="K1" s="213"/>
      <c r="L1" s="59"/>
    </row>
    <row r="2" spans="1:12" s="328" customFormat="1" ht="30.75" customHeight="1">
      <c r="A2" s="330"/>
      <c r="B2" s="331" t="s">
        <v>373</v>
      </c>
      <c r="C2" s="332"/>
      <c r="D2" s="332"/>
      <c r="E2" s="333"/>
      <c r="F2" s="333"/>
      <c r="G2" s="333"/>
      <c r="H2" s="333"/>
      <c r="I2" s="333"/>
      <c r="J2" s="334"/>
      <c r="L2" s="329"/>
    </row>
    <row r="3" spans="1:12" s="344" customFormat="1" ht="48" customHeight="1">
      <c r="A3" s="339" t="s">
        <v>761</v>
      </c>
      <c r="B3" s="339"/>
      <c r="C3" s="339"/>
      <c r="D3" s="340" t="s">
        <v>89</v>
      </c>
      <c r="E3" s="340">
        <v>38199</v>
      </c>
      <c r="F3" s="341" t="s">
        <v>347</v>
      </c>
      <c r="G3" s="341" t="s">
        <v>936</v>
      </c>
      <c r="H3" s="342" t="s">
        <v>1085</v>
      </c>
      <c r="I3" s="343" t="s">
        <v>1018</v>
      </c>
      <c r="J3" s="339"/>
      <c r="L3" s="345"/>
    </row>
    <row r="4" spans="1:12" s="62" customFormat="1" ht="36.75" customHeight="1">
      <c r="A4" s="204" t="s">
        <v>621</v>
      </c>
      <c r="D4" s="335">
        <f>+Summary!F26</f>
        <v>4580784.3695997195</v>
      </c>
      <c r="E4" s="336">
        <v>4267913</v>
      </c>
      <c r="F4" s="336">
        <v>4307345</v>
      </c>
      <c r="G4" s="336">
        <v>3924090</v>
      </c>
      <c r="H4" s="337">
        <v>3553180.248</v>
      </c>
      <c r="I4" s="282">
        <v>3339310</v>
      </c>
      <c r="J4" s="338"/>
      <c r="K4" s="218"/>
      <c r="L4" s="216"/>
    </row>
    <row r="5" spans="1:12" s="62" customFormat="1" ht="21" customHeight="1">
      <c r="A5" s="204" t="s">
        <v>285</v>
      </c>
      <c r="D5" s="200">
        <f>Summary!I26</f>
        <v>3306833.7319006287</v>
      </c>
      <c r="E5" s="264">
        <v>3048654</v>
      </c>
      <c r="F5" s="264">
        <v>3071708</v>
      </c>
      <c r="G5" s="264">
        <v>2859141</v>
      </c>
      <c r="H5" s="200">
        <v>2675055.718</v>
      </c>
      <c r="I5" s="283">
        <v>2468153</v>
      </c>
      <c r="J5" s="201"/>
      <c r="K5" s="218"/>
      <c r="L5" s="216"/>
    </row>
    <row r="6" spans="1:12" s="62" customFormat="1" ht="21" customHeight="1" thickBot="1">
      <c r="A6" s="205" t="s">
        <v>286</v>
      </c>
      <c r="B6" s="198"/>
      <c r="C6" s="198"/>
      <c r="D6" s="199">
        <f>+Summary!L26</f>
        <v>7887618.111500349</v>
      </c>
      <c r="E6" s="202">
        <f>SUM(E4:E5)+1</f>
        <v>7316568</v>
      </c>
      <c r="F6" s="202">
        <f>SUM(F4:F5)</f>
        <v>7379053</v>
      </c>
      <c r="G6" s="202">
        <f>SUM(G4:G5)</f>
        <v>6783231</v>
      </c>
      <c r="H6" s="202">
        <f>SUM(H4:H5)</f>
        <v>6228235.966</v>
      </c>
      <c r="I6" s="202">
        <f>SUM(I4:I5)</f>
        <v>5807463</v>
      </c>
      <c r="J6" s="203"/>
      <c r="K6" s="218"/>
      <c r="L6" s="216"/>
    </row>
    <row r="7" spans="1:13" s="62" customFormat="1" ht="41.25" customHeight="1" thickBot="1" thickTop="1">
      <c r="A7" s="207" t="s">
        <v>82</v>
      </c>
      <c r="B7" s="207"/>
      <c r="C7" s="207"/>
      <c r="D7" s="207"/>
      <c r="E7" s="208"/>
      <c r="F7" s="208"/>
      <c r="G7" s="208"/>
      <c r="H7" s="208"/>
      <c r="I7" s="208"/>
      <c r="J7" s="207"/>
      <c r="L7" s="218"/>
      <c r="M7" s="101" t="s">
        <v>318</v>
      </c>
    </row>
    <row r="8" spans="4:12" s="62" customFormat="1" ht="30" customHeight="1" thickTop="1">
      <c r="D8" s="220" t="s">
        <v>4</v>
      </c>
      <c r="E8" s="63"/>
      <c r="F8" s="221" t="s">
        <v>374</v>
      </c>
      <c r="G8" s="61"/>
      <c r="H8" s="61"/>
      <c r="I8" s="206"/>
      <c r="J8" s="216"/>
      <c r="K8" s="216"/>
      <c r="L8" s="216"/>
    </row>
    <row r="9" spans="1:11" s="62" customFormat="1" ht="16.5" customHeight="1">
      <c r="A9" s="61" t="s">
        <v>297</v>
      </c>
      <c r="B9" s="61"/>
      <c r="C9" s="61"/>
      <c r="D9" s="220" t="s">
        <v>5</v>
      </c>
      <c r="E9" s="220" t="s">
        <v>6</v>
      </c>
      <c r="F9" s="63"/>
      <c r="I9" s="222" t="s">
        <v>966</v>
      </c>
      <c r="J9" s="217"/>
      <c r="K9" s="213"/>
    </row>
    <row r="10" spans="4:12" s="62" customFormat="1" ht="15.75" customHeight="1">
      <c r="D10" s="220" t="s">
        <v>356</v>
      </c>
      <c r="E10" s="63"/>
      <c r="F10" s="223" t="s">
        <v>357</v>
      </c>
      <c r="G10" s="223" t="s">
        <v>358</v>
      </c>
      <c r="H10" s="223" t="s">
        <v>358</v>
      </c>
      <c r="I10" s="224" t="s">
        <v>942</v>
      </c>
      <c r="J10" s="51">
        <v>18</v>
      </c>
      <c r="K10" s="90"/>
      <c r="L10" s="90"/>
    </row>
    <row r="11" spans="1:10" s="62" customFormat="1" ht="14.25" customHeight="1">
      <c r="A11" s="64"/>
      <c r="B11" s="64"/>
      <c r="C11" s="64"/>
      <c r="D11" s="65"/>
      <c r="E11" s="65"/>
      <c r="F11" s="225" t="s">
        <v>262</v>
      </c>
      <c r="G11" s="226" t="s">
        <v>364</v>
      </c>
      <c r="H11" s="226" t="s">
        <v>365</v>
      </c>
      <c r="I11" s="227"/>
      <c r="J11" s="219"/>
    </row>
    <row r="12" spans="1:12" s="62" customFormat="1" ht="28.5" customHeight="1">
      <c r="A12" s="101" t="s">
        <v>366</v>
      </c>
      <c r="D12" s="63"/>
      <c r="E12" s="63"/>
      <c r="F12" s="102"/>
      <c r="G12" s="102"/>
      <c r="H12" s="102"/>
      <c r="I12" s="66"/>
      <c r="J12" s="216"/>
      <c r="K12" s="90"/>
      <c r="L12" s="90"/>
    </row>
    <row r="13" spans="1:10" s="62" customFormat="1" ht="13.5" customHeight="1">
      <c r="A13" s="101" t="s">
        <v>283</v>
      </c>
      <c r="C13" s="228" t="s">
        <v>1040</v>
      </c>
      <c r="D13" s="63"/>
      <c r="E13" s="63"/>
      <c r="F13" s="102"/>
      <c r="G13" s="102"/>
      <c r="H13" s="102"/>
      <c r="I13" s="66"/>
      <c r="J13" s="216"/>
    </row>
    <row r="14" spans="1:12" s="62" customFormat="1" ht="15.75" customHeight="1">
      <c r="A14" s="101" t="s">
        <v>640</v>
      </c>
      <c r="C14" s="310">
        <v>10.75</v>
      </c>
      <c r="D14" s="311" t="s">
        <v>791</v>
      </c>
      <c r="E14" s="231">
        <v>38579</v>
      </c>
      <c r="F14" s="102">
        <v>9269713</v>
      </c>
      <c r="G14" s="102">
        <v>5513708</v>
      </c>
      <c r="H14" s="102">
        <f aca="true" t="shared" si="0" ref="H14:H49">SUM(F14-G14)</f>
        <v>3756005</v>
      </c>
      <c r="I14" s="66">
        <v>85760</v>
      </c>
      <c r="J14" s="216"/>
      <c r="K14" s="213"/>
      <c r="L14" s="61"/>
    </row>
    <row r="15" spans="1:10" s="62" customFormat="1" ht="15" customHeight="1">
      <c r="A15" s="101" t="s">
        <v>642</v>
      </c>
      <c r="C15" s="310">
        <v>9.375</v>
      </c>
      <c r="D15" s="311" t="s">
        <v>792</v>
      </c>
      <c r="E15" s="231">
        <v>38763</v>
      </c>
      <c r="F15" s="102">
        <v>4755916</v>
      </c>
      <c r="G15" s="102">
        <v>4136841</v>
      </c>
      <c r="H15" s="102">
        <f t="shared" si="0"/>
        <v>619075</v>
      </c>
      <c r="I15" s="66">
        <v>17000</v>
      </c>
      <c r="J15" s="216"/>
    </row>
    <row r="16" spans="1:12" s="62" customFormat="1" ht="15" customHeight="1">
      <c r="A16" s="101" t="s">
        <v>649</v>
      </c>
      <c r="B16" s="114" t="s">
        <v>259</v>
      </c>
      <c r="C16" s="310">
        <v>11.75</v>
      </c>
      <c r="D16" s="311" t="s">
        <v>143</v>
      </c>
      <c r="E16" s="231">
        <v>41958</v>
      </c>
      <c r="F16" s="102">
        <v>5015284</v>
      </c>
      <c r="G16" s="102">
        <v>2202162</v>
      </c>
      <c r="H16" s="102">
        <f t="shared" si="0"/>
        <v>2813122</v>
      </c>
      <c r="I16" s="66">
        <v>16000</v>
      </c>
      <c r="J16" s="216"/>
      <c r="K16" s="90"/>
      <c r="L16" s="90"/>
    </row>
    <row r="17" spans="1:10" s="62" customFormat="1" ht="15" customHeight="1">
      <c r="A17" s="101" t="s">
        <v>650</v>
      </c>
      <c r="C17" s="310">
        <v>11.25</v>
      </c>
      <c r="D17" s="311" t="s">
        <v>144</v>
      </c>
      <c r="E17" s="231">
        <v>42050</v>
      </c>
      <c r="F17" s="102">
        <v>10520299</v>
      </c>
      <c r="G17" s="102">
        <v>9028263</v>
      </c>
      <c r="H17" s="102">
        <f t="shared" si="0"/>
        <v>1492036</v>
      </c>
      <c r="I17" s="66">
        <v>305280</v>
      </c>
      <c r="J17" s="216"/>
    </row>
    <row r="18" spans="1:10" s="62" customFormat="1" ht="15.75" customHeight="1">
      <c r="A18" s="101" t="s">
        <v>651</v>
      </c>
      <c r="C18" s="310">
        <v>10.625</v>
      </c>
      <c r="D18" s="311" t="s">
        <v>793</v>
      </c>
      <c r="E18" s="231">
        <v>42231</v>
      </c>
      <c r="F18" s="102">
        <v>4023916</v>
      </c>
      <c r="G18" s="102">
        <v>3325215</v>
      </c>
      <c r="H18" s="102">
        <f t="shared" si="0"/>
        <v>698701</v>
      </c>
      <c r="I18" s="66">
        <v>359560</v>
      </c>
      <c r="J18" s="216"/>
    </row>
    <row r="19" spans="1:10" s="62" customFormat="1" ht="15" customHeight="1">
      <c r="A19" s="101" t="s">
        <v>652</v>
      </c>
      <c r="C19" s="310">
        <v>9.875</v>
      </c>
      <c r="D19" s="311" t="s">
        <v>794</v>
      </c>
      <c r="E19" s="231">
        <v>42323</v>
      </c>
      <c r="F19" s="102">
        <v>5584859</v>
      </c>
      <c r="G19" s="102">
        <v>3638618</v>
      </c>
      <c r="H19" s="102">
        <f t="shared" si="0"/>
        <v>1946241</v>
      </c>
      <c r="I19" s="66">
        <v>302600</v>
      </c>
      <c r="J19" s="216"/>
    </row>
    <row r="20" spans="1:10" s="62" customFormat="1" ht="15" customHeight="1">
      <c r="A20" s="101" t="s">
        <v>653</v>
      </c>
      <c r="C20" s="310">
        <v>9.25</v>
      </c>
      <c r="D20" s="311" t="s">
        <v>795</v>
      </c>
      <c r="E20" s="231">
        <v>42415</v>
      </c>
      <c r="F20" s="102">
        <v>5431754</v>
      </c>
      <c r="G20" s="102">
        <v>5212940</v>
      </c>
      <c r="H20" s="102">
        <f t="shared" si="0"/>
        <v>218814</v>
      </c>
      <c r="I20" s="66">
        <v>4400</v>
      </c>
      <c r="J20" s="216"/>
    </row>
    <row r="21" spans="1:10" s="62" customFormat="1" ht="15.75" customHeight="1">
      <c r="A21" s="101" t="s">
        <v>654</v>
      </c>
      <c r="C21" s="310">
        <v>7.25</v>
      </c>
      <c r="D21" s="311" t="s">
        <v>796</v>
      </c>
      <c r="E21" s="231">
        <v>42505</v>
      </c>
      <c r="F21" s="102">
        <v>18823551</v>
      </c>
      <c r="G21" s="102">
        <v>18396376</v>
      </c>
      <c r="H21" s="102">
        <f t="shared" si="0"/>
        <v>427175</v>
      </c>
      <c r="I21" s="66">
        <v>9600</v>
      </c>
      <c r="J21" s="216"/>
    </row>
    <row r="22" spans="1:10" s="62" customFormat="1" ht="15" customHeight="1">
      <c r="A22" s="101" t="s">
        <v>655</v>
      </c>
      <c r="C22" s="310">
        <v>7.5</v>
      </c>
      <c r="D22" s="311" t="s">
        <v>797</v>
      </c>
      <c r="E22" s="231">
        <v>42689</v>
      </c>
      <c r="F22" s="102">
        <v>18787448</v>
      </c>
      <c r="G22" s="102">
        <v>16876755</v>
      </c>
      <c r="H22" s="102">
        <f t="shared" si="0"/>
        <v>1910693</v>
      </c>
      <c r="I22" s="66">
        <v>184120</v>
      </c>
      <c r="J22" s="216"/>
    </row>
    <row r="23" spans="1:10" s="62" customFormat="1" ht="15" customHeight="1">
      <c r="A23" s="101" t="s">
        <v>656</v>
      </c>
      <c r="C23" s="310">
        <v>8.75</v>
      </c>
      <c r="D23" s="311" t="s">
        <v>798</v>
      </c>
      <c r="E23" s="231">
        <v>42870</v>
      </c>
      <c r="F23" s="102">
        <v>15559169</v>
      </c>
      <c r="G23" s="102">
        <v>9411432</v>
      </c>
      <c r="H23" s="102">
        <f t="shared" si="0"/>
        <v>6147737</v>
      </c>
      <c r="I23" s="66">
        <v>299800</v>
      </c>
      <c r="J23" s="216"/>
    </row>
    <row r="24" spans="1:10" s="62" customFormat="1" ht="15.75" customHeight="1">
      <c r="A24" s="101" t="s">
        <v>657</v>
      </c>
      <c r="C24" s="310">
        <v>8.875</v>
      </c>
      <c r="D24" s="311" t="s">
        <v>799</v>
      </c>
      <c r="E24" s="231">
        <v>42962</v>
      </c>
      <c r="F24" s="102">
        <v>10968358</v>
      </c>
      <c r="G24" s="102">
        <v>7560146</v>
      </c>
      <c r="H24" s="102">
        <f t="shared" si="0"/>
        <v>3408212</v>
      </c>
      <c r="I24" s="66">
        <v>353000</v>
      </c>
      <c r="J24" s="216"/>
    </row>
    <row r="25" spans="1:10" s="62" customFormat="1" ht="15" customHeight="1">
      <c r="A25" s="101" t="s">
        <v>658</v>
      </c>
      <c r="C25" s="310">
        <v>9.125</v>
      </c>
      <c r="D25" s="311" t="s">
        <v>800</v>
      </c>
      <c r="E25" s="231">
        <v>43235</v>
      </c>
      <c r="F25" s="102">
        <v>6717439</v>
      </c>
      <c r="G25" s="102">
        <v>3719621</v>
      </c>
      <c r="H25" s="102">
        <f t="shared" si="0"/>
        <v>2997818</v>
      </c>
      <c r="I25" s="66">
        <v>239600</v>
      </c>
      <c r="J25" s="216"/>
    </row>
    <row r="26" spans="1:10" s="62" customFormat="1" ht="15" customHeight="1">
      <c r="A26" s="101" t="s">
        <v>659</v>
      </c>
      <c r="C26" s="310">
        <v>9</v>
      </c>
      <c r="D26" s="311" t="s">
        <v>801</v>
      </c>
      <c r="E26" s="231">
        <v>43419</v>
      </c>
      <c r="F26" s="102">
        <v>7174470</v>
      </c>
      <c r="G26" s="102">
        <v>4069439</v>
      </c>
      <c r="H26" s="102">
        <f t="shared" si="0"/>
        <v>3105031</v>
      </c>
      <c r="I26" s="66">
        <v>368200</v>
      </c>
      <c r="J26" s="216"/>
    </row>
    <row r="27" spans="1:10" s="62" customFormat="1" ht="15" customHeight="1">
      <c r="A27" s="101" t="s">
        <v>660</v>
      </c>
      <c r="C27" s="310">
        <v>8.875</v>
      </c>
      <c r="D27" s="311" t="s">
        <v>802</v>
      </c>
      <c r="E27" s="231">
        <v>43511</v>
      </c>
      <c r="F27" s="102">
        <v>13090498</v>
      </c>
      <c r="G27" s="102">
        <v>7716834</v>
      </c>
      <c r="H27" s="102">
        <f t="shared" si="0"/>
        <v>5373664</v>
      </c>
      <c r="I27" s="66">
        <v>172800</v>
      </c>
      <c r="J27" s="216"/>
    </row>
    <row r="28" spans="1:10" s="62" customFormat="1" ht="15" customHeight="1">
      <c r="A28" s="101" t="s">
        <v>661</v>
      </c>
      <c r="C28" s="310">
        <v>8.125</v>
      </c>
      <c r="D28" s="311" t="s">
        <v>803</v>
      </c>
      <c r="E28" s="231">
        <v>43692</v>
      </c>
      <c r="F28" s="102">
        <v>18940932</v>
      </c>
      <c r="G28" s="102">
        <v>17289562</v>
      </c>
      <c r="H28" s="102">
        <f t="shared" si="0"/>
        <v>1651370</v>
      </c>
      <c r="I28" s="66">
        <v>571200</v>
      </c>
      <c r="J28" s="216"/>
    </row>
    <row r="29" spans="1:10" s="62" customFormat="1" ht="14.25" customHeight="1">
      <c r="A29" s="101" t="s">
        <v>662</v>
      </c>
      <c r="C29" s="310">
        <v>8.5</v>
      </c>
      <c r="D29" s="311" t="s">
        <v>804</v>
      </c>
      <c r="E29" s="231">
        <v>43876</v>
      </c>
      <c r="F29" s="102">
        <v>9476268</v>
      </c>
      <c r="G29" s="102">
        <v>6058615</v>
      </c>
      <c r="H29" s="102">
        <f t="shared" si="0"/>
        <v>3417653</v>
      </c>
      <c r="I29" s="66">
        <v>242800</v>
      </c>
      <c r="J29" s="216"/>
    </row>
    <row r="30" spans="1:10" s="62" customFormat="1" ht="15" customHeight="1">
      <c r="A30" s="101" t="s">
        <v>663</v>
      </c>
      <c r="C30" s="310">
        <v>8.75</v>
      </c>
      <c r="D30" s="311" t="s">
        <v>805</v>
      </c>
      <c r="E30" s="231">
        <v>43966</v>
      </c>
      <c r="F30" s="102">
        <v>7582183</v>
      </c>
      <c r="G30" s="102">
        <v>3384150</v>
      </c>
      <c r="H30" s="102">
        <f t="shared" si="0"/>
        <v>4198033</v>
      </c>
      <c r="I30" s="66">
        <v>907520</v>
      </c>
      <c r="J30" s="216"/>
    </row>
    <row r="31" spans="1:10" s="62" customFormat="1" ht="15" customHeight="1">
      <c r="A31" s="101" t="s">
        <v>664</v>
      </c>
      <c r="C31" s="310">
        <v>8.75</v>
      </c>
      <c r="D31" s="311" t="s">
        <v>806</v>
      </c>
      <c r="E31" s="231">
        <v>44058</v>
      </c>
      <c r="F31" s="102">
        <v>17059306</v>
      </c>
      <c r="G31" s="102">
        <v>9638159</v>
      </c>
      <c r="H31" s="102">
        <f t="shared" si="0"/>
        <v>7421147</v>
      </c>
      <c r="I31" s="66">
        <v>1026480</v>
      </c>
      <c r="J31" s="216"/>
    </row>
    <row r="32" spans="1:10" s="62" customFormat="1" ht="15" customHeight="1">
      <c r="A32" s="101" t="s">
        <v>665</v>
      </c>
      <c r="C32" s="310">
        <v>7.875</v>
      </c>
      <c r="D32" s="311" t="s">
        <v>807</v>
      </c>
      <c r="E32" s="231">
        <v>44242</v>
      </c>
      <c r="F32" s="102">
        <v>10075573</v>
      </c>
      <c r="G32" s="102">
        <v>9205026</v>
      </c>
      <c r="H32" s="102">
        <f t="shared" si="0"/>
        <v>870547</v>
      </c>
      <c r="I32" s="66">
        <v>920200</v>
      </c>
      <c r="J32" s="216"/>
    </row>
    <row r="33" spans="1:10" s="62" customFormat="1" ht="15" customHeight="1">
      <c r="A33" s="101" t="s">
        <v>477</v>
      </c>
      <c r="C33" s="310">
        <v>8.125</v>
      </c>
      <c r="D33" s="311" t="s">
        <v>808</v>
      </c>
      <c r="E33" s="231">
        <v>44331</v>
      </c>
      <c r="F33" s="102">
        <v>10066788</v>
      </c>
      <c r="G33" s="102">
        <v>5148429</v>
      </c>
      <c r="H33" s="102">
        <f t="shared" si="0"/>
        <v>4918359</v>
      </c>
      <c r="I33" s="66">
        <v>674770</v>
      </c>
      <c r="J33" s="216"/>
    </row>
    <row r="34" spans="1:10" s="62" customFormat="1" ht="15" customHeight="1">
      <c r="A34" s="101" t="s">
        <v>478</v>
      </c>
      <c r="C34" s="310">
        <v>8.125</v>
      </c>
      <c r="D34" s="311" t="s">
        <v>809</v>
      </c>
      <c r="E34" s="231">
        <v>44423</v>
      </c>
      <c r="F34" s="102">
        <v>9506382</v>
      </c>
      <c r="G34" s="102">
        <v>7126409</v>
      </c>
      <c r="H34" s="102">
        <f t="shared" si="0"/>
        <v>2379973</v>
      </c>
      <c r="I34" s="66">
        <v>1298400</v>
      </c>
      <c r="J34" s="216"/>
    </row>
    <row r="35" spans="1:10" s="62" customFormat="1" ht="15" customHeight="1">
      <c r="A35" s="101" t="s">
        <v>479</v>
      </c>
      <c r="C35" s="310">
        <v>8</v>
      </c>
      <c r="D35" s="311" t="s">
        <v>810</v>
      </c>
      <c r="E35" s="231">
        <v>44515</v>
      </c>
      <c r="F35" s="102">
        <v>30632194</v>
      </c>
      <c r="G35" s="102">
        <v>16049092</v>
      </c>
      <c r="H35" s="102">
        <f t="shared" si="0"/>
        <v>14583102</v>
      </c>
      <c r="I35" s="66">
        <v>713550</v>
      </c>
      <c r="J35" s="216"/>
    </row>
    <row r="36" spans="1:10" s="62" customFormat="1" ht="15" customHeight="1">
      <c r="A36" s="101" t="s">
        <v>480</v>
      </c>
      <c r="C36" s="310">
        <v>7.25</v>
      </c>
      <c r="D36" s="311" t="s">
        <v>811</v>
      </c>
      <c r="E36" s="231">
        <v>44788</v>
      </c>
      <c r="F36" s="102">
        <v>10127790</v>
      </c>
      <c r="G36" s="102">
        <v>7095470</v>
      </c>
      <c r="H36" s="102">
        <f t="shared" si="0"/>
        <v>3032320</v>
      </c>
      <c r="I36" s="66">
        <v>143400</v>
      </c>
      <c r="J36" s="216"/>
    </row>
    <row r="37" spans="1:10" s="62" customFormat="1" ht="15" customHeight="1">
      <c r="A37" s="101" t="s">
        <v>481</v>
      </c>
      <c r="C37" s="310">
        <v>7.625</v>
      </c>
      <c r="D37" s="311" t="s">
        <v>812</v>
      </c>
      <c r="E37" s="231">
        <v>44880</v>
      </c>
      <c r="F37" s="102">
        <v>7423626</v>
      </c>
      <c r="G37" s="102">
        <v>3255368</v>
      </c>
      <c r="H37" s="102">
        <f t="shared" si="0"/>
        <v>4168258</v>
      </c>
      <c r="I37" s="66">
        <v>691200</v>
      </c>
      <c r="J37" s="216"/>
    </row>
    <row r="38" spans="1:10" s="62" customFormat="1" ht="15" customHeight="1">
      <c r="A38" s="101" t="s">
        <v>482</v>
      </c>
      <c r="C38" s="310">
        <v>7.125</v>
      </c>
      <c r="D38" s="311" t="s">
        <v>813</v>
      </c>
      <c r="E38" s="231">
        <v>44972</v>
      </c>
      <c r="F38" s="102">
        <v>15782061</v>
      </c>
      <c r="G38" s="102">
        <v>11661149</v>
      </c>
      <c r="H38" s="102">
        <f t="shared" si="0"/>
        <v>4120912</v>
      </c>
      <c r="I38" s="66">
        <v>560200</v>
      </c>
      <c r="J38" s="216"/>
    </row>
    <row r="39" spans="1:10" s="62" customFormat="1" ht="15" customHeight="1">
      <c r="A39" s="101" t="s">
        <v>483</v>
      </c>
      <c r="C39" s="310">
        <v>6.25</v>
      </c>
      <c r="D39" s="311" t="s">
        <v>814</v>
      </c>
      <c r="E39" s="231">
        <v>45153</v>
      </c>
      <c r="F39" s="102">
        <v>22659044</v>
      </c>
      <c r="G39" s="102">
        <v>19014155</v>
      </c>
      <c r="H39" s="102">
        <f t="shared" si="0"/>
        <v>3644889</v>
      </c>
      <c r="I39" s="66">
        <v>460008</v>
      </c>
      <c r="J39" s="216"/>
    </row>
    <row r="40" spans="1:10" s="62" customFormat="1" ht="15" customHeight="1">
      <c r="A40" s="101" t="s">
        <v>484</v>
      </c>
      <c r="C40" s="310">
        <v>7.5</v>
      </c>
      <c r="D40" s="311" t="s">
        <v>815</v>
      </c>
      <c r="E40" s="231">
        <v>45611</v>
      </c>
      <c r="F40" s="102">
        <v>9604162</v>
      </c>
      <c r="G40" s="102">
        <v>3862099</v>
      </c>
      <c r="H40" s="102">
        <f t="shared" si="0"/>
        <v>5742063</v>
      </c>
      <c r="I40" s="66">
        <v>522600</v>
      </c>
      <c r="J40" s="216"/>
    </row>
    <row r="41" spans="1:10" s="62" customFormat="1" ht="15" customHeight="1">
      <c r="A41" s="101" t="s">
        <v>485</v>
      </c>
      <c r="C41" s="310">
        <v>7.625</v>
      </c>
      <c r="D41" s="311" t="s">
        <v>816</v>
      </c>
      <c r="E41" s="231">
        <v>45703</v>
      </c>
      <c r="F41" s="102">
        <v>9509170</v>
      </c>
      <c r="G41" s="102">
        <v>3808669</v>
      </c>
      <c r="H41" s="102">
        <f t="shared" si="0"/>
        <v>5700501</v>
      </c>
      <c r="I41" s="66">
        <v>454800</v>
      </c>
      <c r="J41" s="216"/>
    </row>
    <row r="42" spans="1:10" s="62" customFormat="1" ht="15" customHeight="1">
      <c r="A42" s="101" t="s">
        <v>486</v>
      </c>
      <c r="C42" s="310">
        <v>6.875</v>
      </c>
      <c r="D42" s="311" t="s">
        <v>817</v>
      </c>
      <c r="E42" s="231">
        <v>45884</v>
      </c>
      <c r="F42" s="102">
        <v>11187207</v>
      </c>
      <c r="G42" s="102">
        <v>6718206</v>
      </c>
      <c r="H42" s="102">
        <f t="shared" si="0"/>
        <v>4469001</v>
      </c>
      <c r="I42" s="66">
        <v>113720</v>
      </c>
      <c r="J42" s="216"/>
    </row>
    <row r="43" spans="1:10" s="62" customFormat="1" ht="15" customHeight="1">
      <c r="A43" s="101" t="s">
        <v>487</v>
      </c>
      <c r="C43" s="310">
        <v>6</v>
      </c>
      <c r="D43" s="311" t="s">
        <v>818</v>
      </c>
      <c r="E43" s="231">
        <v>46068</v>
      </c>
      <c r="F43" s="102">
        <v>12837916</v>
      </c>
      <c r="G43" s="102">
        <v>11929272</v>
      </c>
      <c r="H43" s="102">
        <f t="shared" si="0"/>
        <v>908644</v>
      </c>
      <c r="I43" s="66">
        <v>201700</v>
      </c>
      <c r="J43" s="216"/>
    </row>
    <row r="44" spans="1:10" s="62" customFormat="1" ht="15" customHeight="1">
      <c r="A44" s="101" t="s">
        <v>488</v>
      </c>
      <c r="C44" s="310">
        <v>6.75</v>
      </c>
      <c r="D44" s="311" t="s">
        <v>819</v>
      </c>
      <c r="E44" s="231">
        <v>46249</v>
      </c>
      <c r="F44" s="102">
        <v>8810418</v>
      </c>
      <c r="G44" s="102">
        <v>4610655</v>
      </c>
      <c r="H44" s="102">
        <f t="shared" si="0"/>
        <v>4199763</v>
      </c>
      <c r="I44" s="66">
        <v>834800</v>
      </c>
      <c r="J44" s="216"/>
    </row>
    <row r="45" spans="1:10" s="62" customFormat="1" ht="14.25" customHeight="1">
      <c r="A45" s="101" t="s">
        <v>489</v>
      </c>
      <c r="C45" s="310">
        <v>6.5</v>
      </c>
      <c r="D45" s="311" t="s">
        <v>820</v>
      </c>
      <c r="E45" s="231">
        <v>46341</v>
      </c>
      <c r="F45" s="102">
        <v>10860177</v>
      </c>
      <c r="G45" s="102">
        <v>4744160</v>
      </c>
      <c r="H45" s="102">
        <f t="shared" si="0"/>
        <v>6116017</v>
      </c>
      <c r="I45" s="66">
        <v>290800</v>
      </c>
      <c r="J45" s="216"/>
    </row>
    <row r="46" spans="1:9" s="62" customFormat="1" ht="15" customHeight="1">
      <c r="A46" s="101" t="s">
        <v>490</v>
      </c>
      <c r="C46" s="310">
        <v>6.625</v>
      </c>
      <c r="D46" s="311" t="s">
        <v>821</v>
      </c>
      <c r="E46" s="231">
        <v>46433</v>
      </c>
      <c r="F46" s="102">
        <v>9521971</v>
      </c>
      <c r="G46" s="102">
        <v>4635260</v>
      </c>
      <c r="H46" s="102">
        <f t="shared" si="0"/>
        <v>4886711</v>
      </c>
      <c r="I46" s="66">
        <v>318000</v>
      </c>
    </row>
    <row r="47" spans="1:9" s="62" customFormat="1" ht="15" customHeight="1">
      <c r="A47" s="101" t="s">
        <v>491</v>
      </c>
      <c r="C47" s="310">
        <v>6.375</v>
      </c>
      <c r="D47" s="311" t="s">
        <v>822</v>
      </c>
      <c r="E47" s="231">
        <v>46614</v>
      </c>
      <c r="F47" s="102">
        <v>9196756</v>
      </c>
      <c r="G47" s="102">
        <v>5526467</v>
      </c>
      <c r="H47" s="102">
        <f t="shared" si="0"/>
        <v>3670289</v>
      </c>
      <c r="I47" s="66">
        <v>290400</v>
      </c>
    </row>
    <row r="48" spans="1:9" s="62" customFormat="1" ht="14.25" customHeight="1">
      <c r="A48" s="101" t="s">
        <v>492</v>
      </c>
      <c r="C48" s="310">
        <v>6.125</v>
      </c>
      <c r="D48" s="311" t="s">
        <v>823</v>
      </c>
      <c r="E48" s="231">
        <v>46706</v>
      </c>
      <c r="F48" s="102">
        <v>22021339</v>
      </c>
      <c r="G48" s="102">
        <v>8950763</v>
      </c>
      <c r="H48" s="102">
        <f t="shared" si="0"/>
        <v>13070576</v>
      </c>
      <c r="I48" s="66">
        <v>574800</v>
      </c>
    </row>
    <row r="49" spans="1:9" s="62" customFormat="1" ht="15" customHeight="1">
      <c r="A49" s="101" t="s">
        <v>493</v>
      </c>
      <c r="C49" s="310">
        <v>5.5</v>
      </c>
      <c r="D49" s="311" t="s">
        <v>824</v>
      </c>
      <c r="E49" s="231">
        <v>46980</v>
      </c>
      <c r="F49" s="102">
        <v>11776201</v>
      </c>
      <c r="G49" s="102">
        <v>10729129</v>
      </c>
      <c r="H49" s="102">
        <f t="shared" si="0"/>
        <v>1047072</v>
      </c>
      <c r="I49" s="66">
        <v>162900</v>
      </c>
    </row>
    <row r="50" spans="1:9" s="62" customFormat="1" ht="15" customHeight="1">
      <c r="A50" s="101" t="s">
        <v>494</v>
      </c>
      <c r="C50" s="310">
        <v>5.25</v>
      </c>
      <c r="D50" s="311" t="s">
        <v>825</v>
      </c>
      <c r="E50" s="231">
        <v>47072</v>
      </c>
      <c r="F50" s="102">
        <v>10947052</v>
      </c>
      <c r="G50" s="102">
        <v>9360596</v>
      </c>
      <c r="H50" s="102">
        <f>SUM(F50-G50)</f>
        <v>1586456</v>
      </c>
      <c r="I50" s="66">
        <v>196000</v>
      </c>
    </row>
    <row r="51" spans="1:10" s="62" customFormat="1" ht="15" customHeight="1">
      <c r="A51" s="101" t="s">
        <v>495</v>
      </c>
      <c r="C51" s="310">
        <v>5.25</v>
      </c>
      <c r="D51" s="311" t="s">
        <v>826</v>
      </c>
      <c r="E51" s="231">
        <v>47164</v>
      </c>
      <c r="F51" s="102">
        <v>11350341</v>
      </c>
      <c r="G51" s="102">
        <v>10207945</v>
      </c>
      <c r="H51" s="102">
        <f>SUM(F51-G51)</f>
        <v>1142396</v>
      </c>
      <c r="I51" s="66">
        <v>140400</v>
      </c>
      <c r="J51" s="265"/>
    </row>
    <row r="52" spans="1:9" s="62" customFormat="1" ht="15" customHeight="1">
      <c r="A52" s="101" t="s">
        <v>496</v>
      </c>
      <c r="C52" s="310">
        <v>6.125</v>
      </c>
      <c r="D52" s="311" t="s">
        <v>827</v>
      </c>
      <c r="E52" s="231">
        <v>47345</v>
      </c>
      <c r="F52" s="102">
        <v>11178580</v>
      </c>
      <c r="G52" s="102">
        <v>9372143</v>
      </c>
      <c r="H52" s="102">
        <f>SUM(F52-G52)</f>
        <v>1806437</v>
      </c>
      <c r="I52" s="66">
        <v>207000</v>
      </c>
    </row>
    <row r="53" spans="1:9" s="62" customFormat="1" ht="15" customHeight="1">
      <c r="A53" s="101" t="s">
        <v>497</v>
      </c>
      <c r="C53" s="310">
        <v>6.25</v>
      </c>
      <c r="D53" s="311" t="s">
        <v>828</v>
      </c>
      <c r="E53" s="231">
        <v>47618</v>
      </c>
      <c r="F53" s="102">
        <v>17043162</v>
      </c>
      <c r="G53" s="102">
        <v>9320457</v>
      </c>
      <c r="H53" s="102">
        <f>SUM(F53-G53)</f>
        <v>7722705</v>
      </c>
      <c r="I53" s="66">
        <v>1126016</v>
      </c>
    </row>
    <row r="54" spans="1:9" s="62" customFormat="1" ht="15" customHeight="1">
      <c r="A54" s="101" t="s">
        <v>498</v>
      </c>
      <c r="C54" s="310">
        <v>5.375</v>
      </c>
      <c r="D54" s="311" t="s">
        <v>829</v>
      </c>
      <c r="E54" s="231">
        <v>47894</v>
      </c>
      <c r="F54" s="102">
        <v>16427648</v>
      </c>
      <c r="G54" s="102">
        <v>16254448</v>
      </c>
      <c r="H54" s="102">
        <f>SUM(F54-G54)</f>
        <v>173200</v>
      </c>
      <c r="I54" s="66">
        <v>0</v>
      </c>
    </row>
    <row r="55" spans="1:9" s="62" customFormat="1" ht="29.25" customHeight="1">
      <c r="A55" s="213" t="s">
        <v>1069</v>
      </c>
      <c r="B55" s="228"/>
      <c r="C55" s="232"/>
      <c r="D55" s="230" t="s">
        <v>259</v>
      </c>
      <c r="E55" s="234"/>
      <c r="F55" s="102">
        <f>SUM(F14:F54)</f>
        <v>487326921</v>
      </c>
      <c r="G55" s="102">
        <f>SUM(G14:G54)</f>
        <v>335764203</v>
      </c>
      <c r="H55" s="102">
        <f>SUM(H14:H54)</f>
        <v>151562718</v>
      </c>
      <c r="I55" s="66">
        <f>SUM(I14:I54)</f>
        <v>16361384</v>
      </c>
    </row>
    <row r="56" spans="1:10" s="62" customFormat="1" ht="26.25" customHeight="1">
      <c r="A56" s="101" t="s">
        <v>1161</v>
      </c>
      <c r="C56" s="90"/>
      <c r="D56" s="233"/>
      <c r="E56" s="235"/>
      <c r="F56" s="102"/>
      <c r="G56" s="102"/>
      <c r="H56" s="102"/>
      <c r="I56" s="66"/>
      <c r="J56" s="216"/>
    </row>
    <row r="57" spans="1:10" s="62" customFormat="1" ht="15" customHeight="1">
      <c r="A57" s="101" t="s">
        <v>283</v>
      </c>
      <c r="B57" s="61" t="s">
        <v>1039</v>
      </c>
      <c r="C57" s="228" t="s">
        <v>1040</v>
      </c>
      <c r="D57" s="233"/>
      <c r="E57" s="235"/>
      <c r="F57" s="102"/>
      <c r="G57" s="102"/>
      <c r="H57" s="102"/>
      <c r="I57" s="66"/>
      <c r="J57" s="216"/>
    </row>
    <row r="58" spans="1:9" s="62" customFormat="1" ht="15" customHeight="1">
      <c r="A58" s="101" t="s">
        <v>1055</v>
      </c>
      <c r="B58" s="228" t="s">
        <v>1047</v>
      </c>
      <c r="C58" s="310">
        <v>3.375</v>
      </c>
      <c r="D58" s="311" t="s">
        <v>830</v>
      </c>
      <c r="E58" s="231">
        <v>39097</v>
      </c>
      <c r="F58" s="102">
        <v>19335660.736</v>
      </c>
      <c r="G58" s="102">
        <v>19335660.736</v>
      </c>
      <c r="H58" s="102">
        <f aca="true" t="shared" si="1" ref="H58:H66">SUM(F58-G58)</f>
        <v>0</v>
      </c>
      <c r="I58" s="66">
        <v>0</v>
      </c>
    </row>
    <row r="59" spans="1:9" s="62" customFormat="1" ht="15" customHeight="1">
      <c r="A59" s="101" t="s">
        <v>499</v>
      </c>
      <c r="B59" s="228" t="s">
        <v>1047</v>
      </c>
      <c r="C59" s="310">
        <v>3.625</v>
      </c>
      <c r="D59" s="311" t="s">
        <v>831</v>
      </c>
      <c r="E59" s="234">
        <v>39462</v>
      </c>
      <c r="F59" s="102">
        <v>20230178.693</v>
      </c>
      <c r="G59" s="102">
        <v>20109843.693</v>
      </c>
      <c r="H59" s="102">
        <f t="shared" si="1"/>
        <v>120335</v>
      </c>
      <c r="I59" s="66">
        <v>0</v>
      </c>
    </row>
    <row r="60" spans="1:9" s="62" customFormat="1" ht="15" customHeight="1">
      <c r="A60" s="101" t="s">
        <v>500</v>
      </c>
      <c r="B60" s="228" t="s">
        <v>1047</v>
      </c>
      <c r="C60" s="310">
        <v>3.875</v>
      </c>
      <c r="D60" s="311" t="s">
        <v>832</v>
      </c>
      <c r="E60" s="234">
        <v>39828</v>
      </c>
      <c r="F60" s="102">
        <v>18850860.428</v>
      </c>
      <c r="G60" s="102">
        <v>18850860.428</v>
      </c>
      <c r="H60" s="102">
        <f t="shared" si="1"/>
        <v>0</v>
      </c>
      <c r="I60" s="66">
        <v>0</v>
      </c>
    </row>
    <row r="61" spans="1:9" s="62" customFormat="1" ht="15" customHeight="1">
      <c r="A61" s="101" t="s">
        <v>501</v>
      </c>
      <c r="B61" s="228" t="s">
        <v>1047</v>
      </c>
      <c r="C61" s="310">
        <v>4.25</v>
      </c>
      <c r="D61" s="311" t="s">
        <v>833</v>
      </c>
      <c r="E61" s="234">
        <v>40193</v>
      </c>
      <c r="F61" s="102">
        <v>13081372.747</v>
      </c>
      <c r="G61" s="102">
        <v>13081372.747</v>
      </c>
      <c r="H61" s="102">
        <f t="shared" si="1"/>
        <v>0</v>
      </c>
      <c r="I61" s="66">
        <v>0</v>
      </c>
    </row>
    <row r="62" spans="1:9" s="62" customFormat="1" ht="15" customHeight="1">
      <c r="A62" s="101" t="s">
        <v>422</v>
      </c>
      <c r="B62" s="228" t="s">
        <v>165</v>
      </c>
      <c r="C62" s="310">
        <v>0.875</v>
      </c>
      <c r="D62" s="311" t="s">
        <v>834</v>
      </c>
      <c r="E62" s="234">
        <v>40283</v>
      </c>
      <c r="F62" s="102">
        <v>21550920.754</v>
      </c>
      <c r="G62" s="102">
        <v>21550920.754</v>
      </c>
      <c r="H62" s="102">
        <f>SUM(F62-G62)</f>
        <v>0</v>
      </c>
      <c r="I62" s="66">
        <v>0</v>
      </c>
    </row>
    <row r="63" spans="1:9" s="62" customFormat="1" ht="15" customHeight="1">
      <c r="A63" s="101" t="s">
        <v>421</v>
      </c>
      <c r="B63" s="228" t="s">
        <v>1047</v>
      </c>
      <c r="C63" s="310">
        <v>3.5</v>
      </c>
      <c r="D63" s="311" t="s">
        <v>835</v>
      </c>
      <c r="E63" s="234">
        <v>40558</v>
      </c>
      <c r="F63" s="102">
        <v>12288047.202</v>
      </c>
      <c r="G63" s="102">
        <v>12288047.202</v>
      </c>
      <c r="H63" s="102">
        <f t="shared" si="1"/>
        <v>0</v>
      </c>
      <c r="I63" s="66">
        <v>0</v>
      </c>
    </row>
    <row r="64" spans="1:9" s="62" customFormat="1" ht="15" customHeight="1">
      <c r="A64" s="101" t="s">
        <v>502</v>
      </c>
      <c r="B64" s="228" t="s">
        <v>1047</v>
      </c>
      <c r="C64" s="310">
        <v>3.375</v>
      </c>
      <c r="D64" s="311" t="s">
        <v>836</v>
      </c>
      <c r="E64" s="234">
        <v>40923</v>
      </c>
      <c r="F64" s="102">
        <v>6573789.243</v>
      </c>
      <c r="G64" s="102">
        <v>6573789.243</v>
      </c>
      <c r="H64" s="102">
        <f>SUM(F64-G64)</f>
        <v>0</v>
      </c>
      <c r="I64" s="66">
        <v>0</v>
      </c>
    </row>
    <row r="65" spans="1:9" s="62" customFormat="1" ht="15" customHeight="1">
      <c r="A65" s="101" t="s">
        <v>1056</v>
      </c>
      <c r="B65" s="228" t="s">
        <v>160</v>
      </c>
      <c r="C65" s="310">
        <v>3</v>
      </c>
      <c r="D65" s="311" t="s">
        <v>837</v>
      </c>
      <c r="E65" s="234">
        <v>41105</v>
      </c>
      <c r="F65" s="102">
        <v>24887659.029</v>
      </c>
      <c r="G65" s="102">
        <v>24887659.029</v>
      </c>
      <c r="H65" s="102">
        <f>SUM(F65-G65)</f>
        <v>0</v>
      </c>
      <c r="I65" s="66">
        <v>0</v>
      </c>
    </row>
    <row r="66" spans="1:9" s="62" customFormat="1" ht="15" customHeight="1">
      <c r="A66" s="101" t="s">
        <v>503</v>
      </c>
      <c r="B66" s="228" t="s">
        <v>160</v>
      </c>
      <c r="C66" s="310">
        <v>1.875</v>
      </c>
      <c r="D66" s="311" t="s">
        <v>838</v>
      </c>
      <c r="E66" s="234">
        <v>41470</v>
      </c>
      <c r="F66" s="102">
        <v>21178605.578</v>
      </c>
      <c r="G66" s="102">
        <v>21178605.578</v>
      </c>
      <c r="H66" s="102">
        <f t="shared" si="1"/>
        <v>0</v>
      </c>
      <c r="I66" s="66">
        <v>0</v>
      </c>
    </row>
    <row r="67" spans="1:9" s="62" customFormat="1" ht="14.25" customHeight="1">
      <c r="A67" s="101" t="s">
        <v>504</v>
      </c>
      <c r="B67" s="228" t="s">
        <v>1047</v>
      </c>
      <c r="C67" s="310">
        <v>2</v>
      </c>
      <c r="D67" s="311" t="s">
        <v>839</v>
      </c>
      <c r="E67" s="234">
        <v>41654</v>
      </c>
      <c r="F67" s="102">
        <v>22096373.427</v>
      </c>
      <c r="G67" s="102">
        <v>22096373.427</v>
      </c>
      <c r="H67" s="102">
        <f aca="true" t="shared" si="2" ref="H67:H74">SUM(F67-G67)</f>
        <v>0</v>
      </c>
      <c r="I67" s="66">
        <v>0</v>
      </c>
    </row>
    <row r="68" spans="1:9" s="62" customFormat="1" ht="15" customHeight="1">
      <c r="A68" s="101" t="s">
        <v>505</v>
      </c>
      <c r="B68" s="228" t="s">
        <v>165</v>
      </c>
      <c r="C68" s="310">
        <v>2</v>
      </c>
      <c r="D68" s="311" t="s">
        <v>840</v>
      </c>
      <c r="E68" s="234">
        <v>41835</v>
      </c>
      <c r="F68" s="102">
        <v>19597964.349</v>
      </c>
      <c r="G68" s="102">
        <v>19597964.349</v>
      </c>
      <c r="H68" s="102">
        <f t="shared" si="2"/>
        <v>0</v>
      </c>
      <c r="I68" s="66">
        <v>0</v>
      </c>
    </row>
    <row r="69" spans="1:9" s="62" customFormat="1" ht="15" customHeight="1">
      <c r="A69" s="101" t="s">
        <v>506</v>
      </c>
      <c r="B69" s="228" t="s">
        <v>1047</v>
      </c>
      <c r="C69" s="310">
        <v>1.625</v>
      </c>
      <c r="D69" s="311" t="s">
        <v>841</v>
      </c>
      <c r="E69" s="234">
        <v>42019</v>
      </c>
      <c r="F69" s="102">
        <v>19345754.88</v>
      </c>
      <c r="G69" s="102">
        <v>19345754.88</v>
      </c>
      <c r="H69" s="102">
        <f t="shared" si="2"/>
        <v>0</v>
      </c>
      <c r="I69" s="66">
        <v>0</v>
      </c>
    </row>
    <row r="70" spans="1:9" s="62" customFormat="1" ht="15" customHeight="1">
      <c r="A70" s="101" t="s">
        <v>96</v>
      </c>
      <c r="B70" s="228" t="s">
        <v>165</v>
      </c>
      <c r="C70" s="310">
        <v>1.875</v>
      </c>
      <c r="D70" s="311" t="s">
        <v>97</v>
      </c>
      <c r="E70" s="234">
        <v>42200</v>
      </c>
      <c r="F70" s="102">
        <v>9000250</v>
      </c>
      <c r="G70" s="102">
        <v>9000250</v>
      </c>
      <c r="H70" s="102">
        <f t="shared" si="2"/>
        <v>0</v>
      </c>
      <c r="I70" s="66">
        <v>0</v>
      </c>
    </row>
    <row r="71" spans="1:9" s="62" customFormat="1" ht="15" customHeight="1">
      <c r="A71" s="101" t="s">
        <v>739</v>
      </c>
      <c r="B71" s="228"/>
      <c r="C71" s="310">
        <v>2.375</v>
      </c>
      <c r="D71" s="311" t="s">
        <v>842</v>
      </c>
      <c r="E71" s="231">
        <v>45672</v>
      </c>
      <c r="F71" s="102">
        <v>28887610.36</v>
      </c>
      <c r="G71" s="102">
        <v>28887610.36</v>
      </c>
      <c r="H71" s="102">
        <f t="shared" si="2"/>
        <v>0</v>
      </c>
      <c r="I71" s="66">
        <v>0</v>
      </c>
    </row>
    <row r="72" spans="1:9" s="62" customFormat="1" ht="15" customHeight="1">
      <c r="A72" s="101" t="s">
        <v>507</v>
      </c>
      <c r="B72" s="228"/>
      <c r="C72" s="310">
        <v>3.625</v>
      </c>
      <c r="D72" s="311" t="s">
        <v>843</v>
      </c>
      <c r="E72" s="231">
        <v>46858</v>
      </c>
      <c r="F72" s="102">
        <v>20173237.052</v>
      </c>
      <c r="G72" s="102">
        <v>20167227.202</v>
      </c>
      <c r="H72" s="102">
        <f t="shared" si="2"/>
        <v>6009.85000000149</v>
      </c>
      <c r="I72" s="66">
        <v>0</v>
      </c>
    </row>
    <row r="73" spans="1:9" s="62" customFormat="1" ht="15" customHeight="1">
      <c r="A73" s="101" t="s">
        <v>508</v>
      </c>
      <c r="B73" s="228"/>
      <c r="C73" s="310">
        <v>3.875</v>
      </c>
      <c r="D73" s="311" t="s">
        <v>844</v>
      </c>
      <c r="E73" s="231">
        <v>47223</v>
      </c>
      <c r="F73" s="102">
        <v>23056453.763</v>
      </c>
      <c r="G73" s="102">
        <v>22908632.513</v>
      </c>
      <c r="H73" s="102">
        <f t="shared" si="2"/>
        <v>147821.25</v>
      </c>
      <c r="I73" s="66">
        <v>0</v>
      </c>
    </row>
    <row r="74" spans="1:9" s="62" customFormat="1" ht="15" customHeight="1">
      <c r="A74" s="101" t="s">
        <v>509</v>
      </c>
      <c r="B74" s="228"/>
      <c r="C74" s="310">
        <v>3.375</v>
      </c>
      <c r="D74" s="311" t="s">
        <v>845</v>
      </c>
      <c r="E74" s="231">
        <v>48319</v>
      </c>
      <c r="F74" s="102">
        <v>5489650.384</v>
      </c>
      <c r="G74" s="102">
        <v>5489650.384</v>
      </c>
      <c r="H74" s="102">
        <f t="shared" si="2"/>
        <v>0</v>
      </c>
      <c r="I74" s="66">
        <v>0</v>
      </c>
    </row>
    <row r="75" spans="1:9" s="62" customFormat="1" ht="30" customHeight="1">
      <c r="A75" s="213" t="s">
        <v>569</v>
      </c>
      <c r="B75" s="228"/>
      <c r="C75" s="232"/>
      <c r="D75" s="230" t="s">
        <v>259</v>
      </c>
      <c r="E75" s="234"/>
      <c r="F75" s="102">
        <f>SUM(F58:F74)</f>
        <v>305624388.625</v>
      </c>
      <c r="G75" s="102">
        <f>SUM(G58:G74)</f>
        <v>305350222.52500004</v>
      </c>
      <c r="H75" s="102">
        <f>SUM(H58:H74)</f>
        <v>274166.1000000015</v>
      </c>
      <c r="I75" s="66">
        <v>0</v>
      </c>
    </row>
    <row r="76" spans="1:10" s="62" customFormat="1" ht="28.5" customHeight="1">
      <c r="A76" s="101" t="s">
        <v>1038</v>
      </c>
      <c r="D76" s="63"/>
      <c r="E76" s="63"/>
      <c r="F76" s="63"/>
      <c r="G76" s="63"/>
      <c r="H76" s="63"/>
      <c r="I76" s="66"/>
      <c r="J76" s="216"/>
    </row>
    <row r="77" spans="1:10" s="62" customFormat="1" ht="15" customHeight="1">
      <c r="A77" s="101" t="s">
        <v>283</v>
      </c>
      <c r="B77" s="61" t="s">
        <v>1039</v>
      </c>
      <c r="C77" s="228" t="s">
        <v>1040</v>
      </c>
      <c r="D77" s="63"/>
      <c r="E77" s="63"/>
      <c r="F77" s="63"/>
      <c r="G77" s="63"/>
      <c r="H77" s="63"/>
      <c r="I77" s="66"/>
      <c r="J77" s="216"/>
    </row>
    <row r="78" spans="1:9" s="62" customFormat="1" ht="14.25" customHeight="1">
      <c r="A78" s="101" t="s">
        <v>1139</v>
      </c>
      <c r="B78" s="228" t="s">
        <v>160</v>
      </c>
      <c r="C78" s="310">
        <v>6.5</v>
      </c>
      <c r="D78" s="311" t="s">
        <v>865</v>
      </c>
      <c r="E78" s="231">
        <v>38579</v>
      </c>
      <c r="F78" s="102">
        <v>15002580</v>
      </c>
      <c r="G78" s="102">
        <v>13938135</v>
      </c>
      <c r="H78" s="102">
        <f aca="true" t="shared" si="3" ref="H78:H138">SUM(F78-G78)</f>
        <v>1064445</v>
      </c>
      <c r="I78" s="66">
        <v>123600</v>
      </c>
    </row>
    <row r="79" spans="1:9" s="62" customFormat="1" ht="14.25" customHeight="1">
      <c r="A79" s="101" t="s">
        <v>1135</v>
      </c>
      <c r="B79" s="228" t="s">
        <v>157</v>
      </c>
      <c r="C79" s="310">
        <v>2</v>
      </c>
      <c r="D79" s="311" t="s">
        <v>866</v>
      </c>
      <c r="E79" s="234">
        <v>38595</v>
      </c>
      <c r="F79" s="102">
        <v>30592178</v>
      </c>
      <c r="G79" s="102">
        <v>30592178</v>
      </c>
      <c r="H79" s="102">
        <f t="shared" si="3"/>
        <v>0</v>
      </c>
      <c r="I79" s="66">
        <v>0</v>
      </c>
    </row>
    <row r="80" spans="1:9" s="62" customFormat="1" ht="14.25" customHeight="1">
      <c r="A80" s="101" t="s">
        <v>970</v>
      </c>
      <c r="B80" s="228" t="s">
        <v>159</v>
      </c>
      <c r="C80" s="310">
        <v>1.625</v>
      </c>
      <c r="D80" s="311" t="s">
        <v>867</v>
      </c>
      <c r="E80" s="234">
        <v>38625</v>
      </c>
      <c r="F80" s="102">
        <v>31538969</v>
      </c>
      <c r="G80" s="102">
        <v>31538969</v>
      </c>
      <c r="H80" s="102">
        <f t="shared" si="3"/>
        <v>0</v>
      </c>
      <c r="I80" s="66">
        <v>0</v>
      </c>
    </row>
    <row r="81" spans="1:9" s="62" customFormat="1" ht="14.25" customHeight="1">
      <c r="A81" s="101" t="s">
        <v>971</v>
      </c>
      <c r="B81" s="228" t="s">
        <v>161</v>
      </c>
      <c r="C81" s="310">
        <v>1.625</v>
      </c>
      <c r="D81" s="311" t="s">
        <v>868</v>
      </c>
      <c r="E81" s="234">
        <v>38656</v>
      </c>
      <c r="F81" s="102">
        <v>32368420</v>
      </c>
      <c r="G81" s="102">
        <v>32347620</v>
      </c>
      <c r="H81" s="102">
        <f t="shared" si="3"/>
        <v>20800</v>
      </c>
      <c r="I81" s="66">
        <v>0</v>
      </c>
    </row>
    <row r="82" spans="1:9" s="62" customFormat="1" ht="14.25" customHeight="1">
      <c r="A82" s="101" t="s">
        <v>937</v>
      </c>
      <c r="B82" s="228" t="s">
        <v>165</v>
      </c>
      <c r="C82" s="310">
        <v>5.875</v>
      </c>
      <c r="D82" s="311" t="s">
        <v>869</v>
      </c>
      <c r="E82" s="231">
        <v>38671</v>
      </c>
      <c r="F82" s="102">
        <v>15209920</v>
      </c>
      <c r="G82" s="102">
        <v>12885998</v>
      </c>
      <c r="H82" s="102">
        <f t="shared" si="3"/>
        <v>2323922</v>
      </c>
      <c r="I82" s="66">
        <v>398000</v>
      </c>
    </row>
    <row r="83" spans="1:9" s="62" customFormat="1" ht="14.25" customHeight="1">
      <c r="A83" s="271" t="s">
        <v>639</v>
      </c>
      <c r="B83" s="228" t="s">
        <v>149</v>
      </c>
      <c r="C83" s="310">
        <v>5.75</v>
      </c>
      <c r="D83" s="311" t="s">
        <v>870</v>
      </c>
      <c r="E83" s="231">
        <v>38671</v>
      </c>
      <c r="F83" s="102">
        <v>28062797</v>
      </c>
      <c r="G83" s="102">
        <v>26910960</v>
      </c>
      <c r="H83" s="102">
        <f t="shared" si="3"/>
        <v>1151837</v>
      </c>
      <c r="I83" s="66">
        <v>0</v>
      </c>
    </row>
    <row r="84" spans="1:9" s="62" customFormat="1" ht="14.25" customHeight="1">
      <c r="A84" s="271" t="s">
        <v>190</v>
      </c>
      <c r="B84" s="228" t="s">
        <v>162</v>
      </c>
      <c r="C84" s="310">
        <v>1.875</v>
      </c>
      <c r="D84" s="311" t="s">
        <v>871</v>
      </c>
      <c r="E84" s="231">
        <v>38686</v>
      </c>
      <c r="F84" s="102">
        <v>32203806</v>
      </c>
      <c r="G84" s="102">
        <v>32203806</v>
      </c>
      <c r="H84" s="102">
        <f t="shared" si="3"/>
        <v>0</v>
      </c>
      <c r="I84" s="66">
        <v>0</v>
      </c>
    </row>
    <row r="85" spans="1:9" s="62" customFormat="1" ht="14.25" customHeight="1">
      <c r="A85" s="101" t="s">
        <v>972</v>
      </c>
      <c r="B85" s="228" t="s">
        <v>164</v>
      </c>
      <c r="C85" s="310">
        <v>1.875</v>
      </c>
      <c r="D85" s="311" t="s">
        <v>872</v>
      </c>
      <c r="E85" s="231">
        <v>38717</v>
      </c>
      <c r="F85" s="102">
        <v>33996270</v>
      </c>
      <c r="G85" s="102">
        <v>33996270</v>
      </c>
      <c r="H85" s="102">
        <f t="shared" si="3"/>
        <v>0</v>
      </c>
      <c r="I85" s="66">
        <v>0</v>
      </c>
    </row>
    <row r="86" spans="1:9" s="62" customFormat="1" ht="14.25" customHeight="1">
      <c r="A86" s="101" t="s">
        <v>973</v>
      </c>
      <c r="B86" s="228" t="s">
        <v>1016</v>
      </c>
      <c r="C86" s="310">
        <v>1.875</v>
      </c>
      <c r="D86" s="311" t="s">
        <v>873</v>
      </c>
      <c r="E86" s="231">
        <v>38748</v>
      </c>
      <c r="F86" s="102">
        <v>32533188</v>
      </c>
      <c r="G86" s="102">
        <v>32533188</v>
      </c>
      <c r="H86" s="102">
        <f t="shared" si="3"/>
        <v>0</v>
      </c>
      <c r="I86" s="66">
        <v>0</v>
      </c>
    </row>
    <row r="87" spans="1:9" s="62" customFormat="1" ht="14.25" customHeight="1">
      <c r="A87" s="271" t="s">
        <v>189</v>
      </c>
      <c r="B87" s="228" t="s">
        <v>1047</v>
      </c>
      <c r="C87" s="310">
        <v>5.625</v>
      </c>
      <c r="D87" s="311" t="s">
        <v>874</v>
      </c>
      <c r="E87" s="231">
        <v>38763</v>
      </c>
      <c r="F87" s="102">
        <v>15513587</v>
      </c>
      <c r="G87" s="102">
        <v>15290627</v>
      </c>
      <c r="H87" s="102">
        <f t="shared" si="3"/>
        <v>222960</v>
      </c>
      <c r="I87" s="66">
        <v>82120</v>
      </c>
    </row>
    <row r="88" spans="1:9" s="62" customFormat="1" ht="14.25" customHeight="1">
      <c r="A88" s="101" t="s">
        <v>764</v>
      </c>
      <c r="B88" s="228" t="s">
        <v>1017</v>
      </c>
      <c r="C88" s="310">
        <v>1.625</v>
      </c>
      <c r="D88" s="311" t="s">
        <v>875</v>
      </c>
      <c r="E88" s="231">
        <v>38776</v>
      </c>
      <c r="F88" s="102">
        <v>34001950</v>
      </c>
      <c r="G88" s="102">
        <v>34000350</v>
      </c>
      <c r="H88" s="102">
        <f t="shared" si="3"/>
        <v>1600</v>
      </c>
      <c r="I88" s="66">
        <v>0</v>
      </c>
    </row>
    <row r="89" spans="1:9" s="62" customFormat="1" ht="14.25" customHeight="1">
      <c r="A89" s="101" t="s">
        <v>974</v>
      </c>
      <c r="B89" s="228" t="s">
        <v>151</v>
      </c>
      <c r="C89" s="310">
        <v>1.5</v>
      </c>
      <c r="D89" s="311" t="s">
        <v>876</v>
      </c>
      <c r="E89" s="231">
        <v>38807</v>
      </c>
      <c r="F89" s="102">
        <v>34338606</v>
      </c>
      <c r="G89" s="102">
        <v>34338606</v>
      </c>
      <c r="H89" s="102">
        <f t="shared" si="3"/>
        <v>0</v>
      </c>
      <c r="I89" s="66">
        <v>0</v>
      </c>
    </row>
    <row r="90" spans="1:9" s="62" customFormat="1" ht="14.25" customHeight="1">
      <c r="A90" s="101" t="s">
        <v>975</v>
      </c>
      <c r="B90" s="228" t="s">
        <v>155</v>
      </c>
      <c r="C90" s="310">
        <v>2.25</v>
      </c>
      <c r="D90" s="311" t="s">
        <v>877</v>
      </c>
      <c r="E90" s="231">
        <v>38837</v>
      </c>
      <c r="F90" s="102">
        <v>34334801</v>
      </c>
      <c r="G90" s="102">
        <v>34334801</v>
      </c>
      <c r="H90" s="102">
        <f>SUM(F90-G90)</f>
        <v>0</v>
      </c>
      <c r="I90" s="66">
        <v>0</v>
      </c>
    </row>
    <row r="91" spans="1:9" s="62" customFormat="1" ht="14.25" customHeight="1">
      <c r="A91" s="101" t="s">
        <v>744</v>
      </c>
      <c r="B91" s="228" t="s">
        <v>153</v>
      </c>
      <c r="C91" s="310">
        <v>6.875</v>
      </c>
      <c r="D91" s="311" t="s">
        <v>878</v>
      </c>
      <c r="E91" s="234">
        <v>38852</v>
      </c>
      <c r="F91" s="102">
        <v>16015475</v>
      </c>
      <c r="G91" s="102">
        <v>14430726</v>
      </c>
      <c r="H91" s="102">
        <f t="shared" si="3"/>
        <v>1584749</v>
      </c>
      <c r="I91" s="66">
        <v>33040</v>
      </c>
    </row>
    <row r="92" spans="1:9" s="62" customFormat="1" ht="14.25" customHeight="1">
      <c r="A92" s="271" t="s">
        <v>638</v>
      </c>
      <c r="B92" s="228" t="s">
        <v>1043</v>
      </c>
      <c r="C92" s="310">
        <v>4.625</v>
      </c>
      <c r="D92" s="311" t="s">
        <v>879</v>
      </c>
      <c r="E92" s="234">
        <v>38852</v>
      </c>
      <c r="F92" s="102">
        <v>27797852</v>
      </c>
      <c r="G92" s="102">
        <v>27778698</v>
      </c>
      <c r="H92" s="102">
        <f t="shared" si="3"/>
        <v>19154</v>
      </c>
      <c r="I92" s="66">
        <v>0</v>
      </c>
    </row>
    <row r="93" spans="1:9" s="62" customFormat="1" ht="14.25" customHeight="1">
      <c r="A93" s="101" t="s">
        <v>229</v>
      </c>
      <c r="B93" s="228" t="s">
        <v>158</v>
      </c>
      <c r="C93" s="310">
        <v>2</v>
      </c>
      <c r="D93" s="311" t="s">
        <v>880</v>
      </c>
      <c r="E93" s="234">
        <v>38852</v>
      </c>
      <c r="F93" s="102">
        <v>22391759</v>
      </c>
      <c r="G93" s="102">
        <v>22383659</v>
      </c>
      <c r="H93" s="102">
        <f t="shared" si="3"/>
        <v>8100</v>
      </c>
      <c r="I93" s="66">
        <v>0</v>
      </c>
    </row>
    <row r="94" spans="1:9" s="62" customFormat="1" ht="14.25" customHeight="1">
      <c r="A94" s="101" t="s">
        <v>976</v>
      </c>
      <c r="B94" s="228" t="s">
        <v>157</v>
      </c>
      <c r="C94" s="310">
        <v>2.5</v>
      </c>
      <c r="D94" s="311" t="s">
        <v>881</v>
      </c>
      <c r="E94" s="234">
        <v>38868</v>
      </c>
      <c r="F94" s="102">
        <v>31307947</v>
      </c>
      <c r="G94" s="102">
        <v>31094747</v>
      </c>
      <c r="H94" s="102">
        <f>SUM(F94-G94)</f>
        <v>213200</v>
      </c>
      <c r="I94" s="66">
        <v>0</v>
      </c>
    </row>
    <row r="95" spans="1:9" s="62" customFormat="1" ht="14.25" customHeight="1">
      <c r="A95" s="101" t="s">
        <v>938</v>
      </c>
      <c r="B95" s="228" t="s">
        <v>159</v>
      </c>
      <c r="C95" s="310">
        <v>2.75</v>
      </c>
      <c r="D95" s="311" t="s">
        <v>882</v>
      </c>
      <c r="E95" s="234">
        <v>38898</v>
      </c>
      <c r="F95" s="102">
        <v>32587733</v>
      </c>
      <c r="G95" s="102">
        <v>32587733</v>
      </c>
      <c r="H95" s="102">
        <f>SUM(F95-G95)</f>
        <v>0</v>
      </c>
      <c r="I95" s="66">
        <v>0</v>
      </c>
    </row>
    <row r="96" spans="1:9" s="62" customFormat="1" ht="14.25" customHeight="1">
      <c r="A96" s="101" t="s">
        <v>230</v>
      </c>
      <c r="B96" s="228" t="s">
        <v>160</v>
      </c>
      <c r="C96" s="310">
        <v>7</v>
      </c>
      <c r="D96" s="311" t="s">
        <v>883</v>
      </c>
      <c r="E96" s="234">
        <v>38913</v>
      </c>
      <c r="F96" s="102">
        <v>22740446</v>
      </c>
      <c r="G96" s="102">
        <v>22514046</v>
      </c>
      <c r="H96" s="102">
        <f t="shared" si="3"/>
        <v>226400</v>
      </c>
      <c r="I96" s="66">
        <v>0</v>
      </c>
    </row>
    <row r="97" spans="1:9" s="62" customFormat="1" ht="14.25" customHeight="1">
      <c r="A97" s="101" t="s">
        <v>680</v>
      </c>
      <c r="B97" s="228" t="s">
        <v>161</v>
      </c>
      <c r="C97" s="310">
        <v>2.75</v>
      </c>
      <c r="D97" s="311" t="s">
        <v>884</v>
      </c>
      <c r="E97" s="234">
        <v>38929</v>
      </c>
      <c r="F97" s="102">
        <v>31010881</v>
      </c>
      <c r="G97" s="102">
        <v>31010881</v>
      </c>
      <c r="H97" s="102">
        <f>SUM(F97-G97)</f>
        <v>0</v>
      </c>
      <c r="I97" s="66">
        <v>0</v>
      </c>
    </row>
    <row r="98" spans="1:9" s="62" customFormat="1" ht="14.25" customHeight="1">
      <c r="A98" s="101" t="s">
        <v>977</v>
      </c>
      <c r="B98" s="228" t="s">
        <v>163</v>
      </c>
      <c r="C98" s="310">
        <v>2.375</v>
      </c>
      <c r="D98" s="311" t="s">
        <v>885</v>
      </c>
      <c r="E98" s="234">
        <v>38944</v>
      </c>
      <c r="F98" s="102">
        <v>27909346</v>
      </c>
      <c r="G98" s="102">
        <v>27688696</v>
      </c>
      <c r="H98" s="102">
        <f t="shared" si="3"/>
        <v>220650</v>
      </c>
      <c r="I98" s="66">
        <v>800</v>
      </c>
    </row>
    <row r="99" spans="1:9" s="62" customFormat="1" ht="14.25" customHeight="1">
      <c r="A99" s="101" t="s">
        <v>978</v>
      </c>
      <c r="B99" s="228" t="s">
        <v>162</v>
      </c>
      <c r="C99" s="310">
        <v>2.375</v>
      </c>
      <c r="D99" s="311" t="s">
        <v>886</v>
      </c>
      <c r="E99" s="234">
        <v>38960</v>
      </c>
      <c r="F99" s="102">
        <v>31814087</v>
      </c>
      <c r="G99" s="102">
        <v>31814087</v>
      </c>
      <c r="H99" s="102">
        <f>SUM(F99-G99)</f>
        <v>0</v>
      </c>
      <c r="I99" s="66">
        <v>0</v>
      </c>
    </row>
    <row r="100" spans="1:9" s="62" customFormat="1" ht="14.25" customHeight="1">
      <c r="A100" s="101" t="s">
        <v>979</v>
      </c>
      <c r="B100" s="228" t="s">
        <v>164</v>
      </c>
      <c r="C100" s="310">
        <v>2.5</v>
      </c>
      <c r="D100" s="311" t="s">
        <v>887</v>
      </c>
      <c r="E100" s="234">
        <v>38990</v>
      </c>
      <c r="F100" s="102">
        <v>31656294</v>
      </c>
      <c r="G100" s="102">
        <v>31656294</v>
      </c>
      <c r="H100" s="102">
        <f>SUM(F100-G100)</f>
        <v>0</v>
      </c>
      <c r="I100" s="66">
        <v>0</v>
      </c>
    </row>
    <row r="101" spans="1:9" s="62" customFormat="1" ht="14.25" customHeight="1">
      <c r="A101" s="101" t="s">
        <v>965</v>
      </c>
      <c r="B101" s="228" t="s">
        <v>165</v>
      </c>
      <c r="C101" s="310">
        <v>6.5</v>
      </c>
      <c r="D101" s="311" t="s">
        <v>888</v>
      </c>
      <c r="E101" s="234">
        <v>39005</v>
      </c>
      <c r="F101" s="102">
        <v>22459675</v>
      </c>
      <c r="G101" s="102">
        <v>22395675</v>
      </c>
      <c r="H101" s="102">
        <f t="shared" si="3"/>
        <v>64000</v>
      </c>
      <c r="I101" s="66">
        <v>0</v>
      </c>
    </row>
    <row r="102" spans="1:9" s="62" customFormat="1" ht="14.25" customHeight="1">
      <c r="A102" s="101" t="s">
        <v>728</v>
      </c>
      <c r="B102" s="228" t="s">
        <v>729</v>
      </c>
      <c r="C102" s="310">
        <v>2.5</v>
      </c>
      <c r="D102" s="311" t="s">
        <v>889</v>
      </c>
      <c r="E102" s="234">
        <v>39021</v>
      </c>
      <c r="F102" s="102">
        <v>29568526</v>
      </c>
      <c r="G102" s="102">
        <v>29568526</v>
      </c>
      <c r="H102" s="102">
        <f>SUM(F102-G102)</f>
        <v>0</v>
      </c>
      <c r="I102" s="66">
        <v>0</v>
      </c>
    </row>
    <row r="103" spans="1:9" s="62" customFormat="1" ht="14.25" customHeight="1">
      <c r="A103" s="101" t="s">
        <v>730</v>
      </c>
      <c r="B103" s="228" t="s">
        <v>149</v>
      </c>
      <c r="C103" s="310">
        <v>3.5</v>
      </c>
      <c r="D103" s="311" t="s">
        <v>890</v>
      </c>
      <c r="E103" s="234">
        <v>39036</v>
      </c>
      <c r="F103" s="102">
        <v>35380129</v>
      </c>
      <c r="G103" s="102">
        <v>34629246</v>
      </c>
      <c r="H103" s="102">
        <f t="shared" si="3"/>
        <v>750883</v>
      </c>
      <c r="I103" s="66">
        <v>33100</v>
      </c>
    </row>
    <row r="104" spans="1:9" s="62" customFormat="1" ht="14.25" customHeight="1">
      <c r="A104" s="101" t="s">
        <v>122</v>
      </c>
      <c r="B104" s="228" t="s">
        <v>1045</v>
      </c>
      <c r="C104" s="310">
        <v>2.625</v>
      </c>
      <c r="D104" s="311" t="s">
        <v>891</v>
      </c>
      <c r="E104" s="234">
        <v>39036</v>
      </c>
      <c r="F104" s="102">
        <v>26535905</v>
      </c>
      <c r="G104" s="102">
        <v>26479985</v>
      </c>
      <c r="H104" s="102">
        <f t="shared" si="3"/>
        <v>55920</v>
      </c>
      <c r="I104" s="66">
        <v>0</v>
      </c>
    </row>
    <row r="105" spans="1:9" s="62" customFormat="1" ht="14.25" customHeight="1">
      <c r="A105" s="101" t="s">
        <v>980</v>
      </c>
      <c r="B105" s="228" t="s">
        <v>1041</v>
      </c>
      <c r="C105" s="310">
        <v>2.875</v>
      </c>
      <c r="D105" s="311" t="s">
        <v>892</v>
      </c>
      <c r="E105" s="234">
        <v>39051</v>
      </c>
      <c r="F105" s="102">
        <v>30049344</v>
      </c>
      <c r="G105" s="102">
        <v>30049344</v>
      </c>
      <c r="H105" s="102">
        <f>SUM(F105-G105)</f>
        <v>0</v>
      </c>
      <c r="I105" s="66">
        <v>0</v>
      </c>
    </row>
    <row r="106" spans="1:9" s="62" customFormat="1" ht="14.25" customHeight="1">
      <c r="A106" s="101" t="s">
        <v>981</v>
      </c>
      <c r="B106" s="228" t="s">
        <v>167</v>
      </c>
      <c r="C106" s="310">
        <v>3</v>
      </c>
      <c r="D106" s="311" t="s">
        <v>893</v>
      </c>
      <c r="E106" s="234">
        <v>39082</v>
      </c>
      <c r="F106" s="102">
        <v>31951752</v>
      </c>
      <c r="G106" s="102">
        <v>31951752</v>
      </c>
      <c r="H106" s="102">
        <f>SUM(F106-G106)</f>
        <v>0</v>
      </c>
      <c r="I106" s="66">
        <v>0</v>
      </c>
    </row>
    <row r="107" spans="1:9" s="62" customFormat="1" ht="14.25" customHeight="1">
      <c r="A107" s="101" t="s">
        <v>982</v>
      </c>
      <c r="B107" s="228" t="s">
        <v>151</v>
      </c>
      <c r="C107" s="310">
        <v>3.125</v>
      </c>
      <c r="D107" s="311" t="s">
        <v>894</v>
      </c>
      <c r="E107" s="234">
        <v>39113</v>
      </c>
      <c r="F107" s="102">
        <v>29026959</v>
      </c>
      <c r="G107" s="102">
        <v>29026959</v>
      </c>
      <c r="H107" s="102">
        <f>SUM(F107-G107)</f>
        <v>0</v>
      </c>
      <c r="I107" s="66">
        <v>0</v>
      </c>
    </row>
    <row r="108" spans="1:9" s="62" customFormat="1" ht="14.25" customHeight="1">
      <c r="A108" s="101" t="s">
        <v>700</v>
      </c>
      <c r="B108" s="228" t="s">
        <v>153</v>
      </c>
      <c r="C108" s="310">
        <v>6.25</v>
      </c>
      <c r="D108" s="311" t="s">
        <v>895</v>
      </c>
      <c r="E108" s="234">
        <v>39128</v>
      </c>
      <c r="F108" s="102">
        <v>13103678</v>
      </c>
      <c r="G108" s="102">
        <v>12165048</v>
      </c>
      <c r="H108" s="102">
        <f t="shared" si="3"/>
        <v>938630</v>
      </c>
      <c r="I108" s="66">
        <v>17600</v>
      </c>
    </row>
    <row r="109" spans="1:9" s="62" customFormat="1" ht="14.25" customHeight="1">
      <c r="A109" s="101" t="s">
        <v>911</v>
      </c>
      <c r="B109" s="228" t="s">
        <v>163</v>
      </c>
      <c r="C109" s="310">
        <v>2.25</v>
      </c>
      <c r="D109" s="311" t="s">
        <v>896</v>
      </c>
      <c r="E109" s="234">
        <v>39128</v>
      </c>
      <c r="F109" s="102">
        <v>25469287</v>
      </c>
      <c r="G109" s="102">
        <v>25282687</v>
      </c>
      <c r="H109" s="102">
        <f t="shared" si="3"/>
        <v>186600</v>
      </c>
      <c r="I109" s="66">
        <v>0</v>
      </c>
    </row>
    <row r="110" spans="1:9" s="62" customFormat="1" ht="14.25" customHeight="1">
      <c r="A110" s="101" t="s">
        <v>983</v>
      </c>
      <c r="B110" s="228" t="s">
        <v>155</v>
      </c>
      <c r="C110" s="306">
        <v>3.375</v>
      </c>
      <c r="D110" s="311" t="s">
        <v>897</v>
      </c>
      <c r="E110" s="234">
        <v>39141</v>
      </c>
      <c r="F110" s="102">
        <v>32007046</v>
      </c>
      <c r="G110" s="102">
        <v>32007046</v>
      </c>
      <c r="H110" s="102">
        <f>SUM(F110-G110)</f>
        <v>0</v>
      </c>
      <c r="I110" s="66">
        <v>0</v>
      </c>
    </row>
    <row r="111" spans="1:9" s="62" customFormat="1" ht="14.25" customHeight="1">
      <c r="A111" s="101" t="s">
        <v>7</v>
      </c>
      <c r="B111" s="228" t="s">
        <v>157</v>
      </c>
      <c r="C111" s="306">
        <v>3.75</v>
      </c>
      <c r="D111" s="311" t="s">
        <v>8</v>
      </c>
      <c r="E111" s="234">
        <v>39172</v>
      </c>
      <c r="F111" s="102">
        <v>32000981</v>
      </c>
      <c r="G111" s="102">
        <v>32000981</v>
      </c>
      <c r="H111" s="102">
        <f>SUM(F111-G111)</f>
        <v>0</v>
      </c>
      <c r="I111" s="66">
        <v>0</v>
      </c>
    </row>
    <row r="112" spans="1:9" s="62" customFormat="1" ht="14.25" customHeight="1">
      <c r="A112" s="101" t="s">
        <v>468</v>
      </c>
      <c r="B112" s="228" t="s">
        <v>159</v>
      </c>
      <c r="C112" s="306">
        <v>3.625</v>
      </c>
      <c r="D112" s="311" t="s">
        <v>469</v>
      </c>
      <c r="E112" s="234">
        <v>39202</v>
      </c>
      <c r="F112" s="102">
        <v>31997895</v>
      </c>
      <c r="G112" s="102">
        <v>31997895</v>
      </c>
      <c r="H112" s="102">
        <f>SUM(F112-G112)</f>
        <v>0</v>
      </c>
      <c r="I112" s="66">
        <v>0</v>
      </c>
    </row>
    <row r="113" spans="1:9" s="62" customFormat="1" ht="14.25" customHeight="1">
      <c r="A113" s="101" t="s">
        <v>115</v>
      </c>
      <c r="B113" s="228" t="s">
        <v>160</v>
      </c>
      <c r="C113" s="310">
        <v>6.625</v>
      </c>
      <c r="D113" s="311" t="s">
        <v>898</v>
      </c>
      <c r="E113" s="234">
        <v>39217</v>
      </c>
      <c r="F113" s="102">
        <v>13958186</v>
      </c>
      <c r="G113" s="102">
        <v>12755589</v>
      </c>
      <c r="H113" s="102">
        <f t="shared" si="3"/>
        <v>1202597</v>
      </c>
      <c r="I113" s="66">
        <v>29000</v>
      </c>
    </row>
    <row r="114" spans="1:9" s="62" customFormat="1" ht="14.25" customHeight="1">
      <c r="A114" s="101" t="s">
        <v>226</v>
      </c>
      <c r="B114" s="228" t="s">
        <v>1043</v>
      </c>
      <c r="C114" s="310">
        <v>4.375</v>
      </c>
      <c r="D114" s="311" t="s">
        <v>1110</v>
      </c>
      <c r="E114" s="234">
        <v>39217</v>
      </c>
      <c r="F114" s="102">
        <v>24351431</v>
      </c>
      <c r="G114" s="102">
        <v>24297071</v>
      </c>
      <c r="H114" s="102">
        <f t="shared" si="3"/>
        <v>54360</v>
      </c>
      <c r="I114" s="66">
        <v>5000</v>
      </c>
    </row>
    <row r="115" spans="1:9" s="62" customFormat="1" ht="14.25" customHeight="1">
      <c r="A115" s="101" t="s">
        <v>984</v>
      </c>
      <c r="B115" s="228" t="s">
        <v>1045</v>
      </c>
      <c r="C115" s="310">
        <v>3.125</v>
      </c>
      <c r="D115" s="311" t="s">
        <v>1111</v>
      </c>
      <c r="E115" s="234">
        <v>39217</v>
      </c>
      <c r="F115" s="102">
        <v>27564268</v>
      </c>
      <c r="G115" s="102">
        <v>26406135</v>
      </c>
      <c r="H115" s="102">
        <f>SUM(F115-G115)</f>
        <v>1158133</v>
      </c>
      <c r="I115" s="66">
        <v>0</v>
      </c>
    </row>
    <row r="116" spans="1:9" s="62" customFormat="1" ht="14.25" customHeight="1">
      <c r="A116" s="101" t="s">
        <v>476</v>
      </c>
      <c r="B116" s="228" t="s">
        <v>161</v>
      </c>
      <c r="C116" s="310">
        <v>3.5</v>
      </c>
      <c r="D116" s="311" t="s">
        <v>37</v>
      </c>
      <c r="E116" s="234">
        <v>39233</v>
      </c>
      <c r="F116" s="102">
        <v>29119184</v>
      </c>
      <c r="G116" s="102">
        <v>29119184</v>
      </c>
      <c r="H116" s="102">
        <f>SUM(F116-G116)</f>
        <v>0</v>
      </c>
      <c r="I116" s="66">
        <v>0</v>
      </c>
    </row>
    <row r="117" spans="1:9" s="62" customFormat="1" ht="14.25" customHeight="1">
      <c r="A117" s="101" t="s">
        <v>219</v>
      </c>
      <c r="B117" s="228" t="s">
        <v>162</v>
      </c>
      <c r="C117" s="310">
        <v>3.625</v>
      </c>
      <c r="D117" s="311" t="s">
        <v>220</v>
      </c>
      <c r="E117" s="234">
        <v>39263</v>
      </c>
      <c r="F117" s="102">
        <v>26664251</v>
      </c>
      <c r="G117" s="102">
        <v>26664251</v>
      </c>
      <c r="H117" s="102">
        <f>SUM(F117-G117)</f>
        <v>0</v>
      </c>
      <c r="I117" s="66">
        <v>0</v>
      </c>
    </row>
    <row r="118" spans="1:9" s="62" customFormat="1" ht="12.75" customHeight="1">
      <c r="A118" s="271" t="s">
        <v>227</v>
      </c>
      <c r="B118" s="228" t="s">
        <v>165</v>
      </c>
      <c r="C118" s="310">
        <v>6.125</v>
      </c>
      <c r="D118" s="311" t="s">
        <v>1112</v>
      </c>
      <c r="E118" s="234">
        <v>39309</v>
      </c>
      <c r="F118" s="102">
        <v>25636803</v>
      </c>
      <c r="G118" s="102">
        <v>23596517</v>
      </c>
      <c r="H118" s="102">
        <f t="shared" si="3"/>
        <v>2040286</v>
      </c>
      <c r="I118" s="66">
        <v>13400</v>
      </c>
    </row>
    <row r="119" spans="1:9" s="62" customFormat="1" ht="12.75" customHeight="1">
      <c r="A119" s="101" t="s">
        <v>789</v>
      </c>
      <c r="B119" s="228" t="s">
        <v>149</v>
      </c>
      <c r="C119" s="310">
        <v>3.25</v>
      </c>
      <c r="D119" s="311" t="s">
        <v>1113</v>
      </c>
      <c r="E119" s="234">
        <v>39309</v>
      </c>
      <c r="F119" s="102">
        <v>25410844</v>
      </c>
      <c r="G119" s="102">
        <v>25393564</v>
      </c>
      <c r="H119" s="102">
        <f t="shared" si="3"/>
        <v>17280</v>
      </c>
      <c r="I119" s="66">
        <v>0</v>
      </c>
    </row>
    <row r="120" spans="1:9" s="62" customFormat="1" ht="12.75" customHeight="1">
      <c r="A120" s="101" t="s">
        <v>985</v>
      </c>
      <c r="B120" s="228" t="s">
        <v>1016</v>
      </c>
      <c r="C120" s="310">
        <v>2.75</v>
      </c>
      <c r="D120" s="311" t="s">
        <v>1114</v>
      </c>
      <c r="E120" s="234">
        <v>39309</v>
      </c>
      <c r="F120" s="102">
        <v>24673687</v>
      </c>
      <c r="G120" s="102">
        <v>24479587</v>
      </c>
      <c r="H120" s="102">
        <f>SUM(F120-G120)</f>
        <v>194100</v>
      </c>
      <c r="I120" s="66">
        <v>13400</v>
      </c>
    </row>
    <row r="121" spans="1:9" s="62" customFormat="1" ht="12.75" customHeight="1">
      <c r="A121" s="101" t="s">
        <v>986</v>
      </c>
      <c r="B121" s="228" t="s">
        <v>158</v>
      </c>
      <c r="C121" s="310">
        <v>3</v>
      </c>
      <c r="D121" s="311" t="s">
        <v>1115</v>
      </c>
      <c r="E121" s="234">
        <v>39401</v>
      </c>
      <c r="F121" s="102">
        <v>50619528</v>
      </c>
      <c r="G121" s="102">
        <v>49430882</v>
      </c>
      <c r="H121" s="102">
        <f t="shared" si="3"/>
        <v>1188646</v>
      </c>
      <c r="I121" s="66">
        <v>12600</v>
      </c>
    </row>
    <row r="122" spans="1:9" s="62" customFormat="1" ht="14.25" customHeight="1">
      <c r="A122" s="271" t="s">
        <v>1024</v>
      </c>
      <c r="B122" s="228" t="s">
        <v>153</v>
      </c>
      <c r="C122" s="310">
        <v>5.5</v>
      </c>
      <c r="D122" s="311" t="s">
        <v>1116</v>
      </c>
      <c r="E122" s="234">
        <v>39493</v>
      </c>
      <c r="F122" s="102">
        <v>13583412</v>
      </c>
      <c r="G122" s="102">
        <v>12782557</v>
      </c>
      <c r="H122" s="102">
        <f t="shared" si="3"/>
        <v>800855</v>
      </c>
      <c r="I122" s="66">
        <v>34700</v>
      </c>
    </row>
    <row r="123" spans="1:9" s="62" customFormat="1" ht="14.25" customHeight="1">
      <c r="A123" s="101" t="s">
        <v>363</v>
      </c>
      <c r="B123" s="228" t="s">
        <v>1043</v>
      </c>
      <c r="C123" s="310">
        <v>3</v>
      </c>
      <c r="D123" s="311" t="s">
        <v>1117</v>
      </c>
      <c r="E123" s="234">
        <v>39493</v>
      </c>
      <c r="F123" s="102">
        <v>27489260</v>
      </c>
      <c r="G123" s="102">
        <v>27339860</v>
      </c>
      <c r="H123" s="102">
        <f t="shared" si="3"/>
        <v>149400</v>
      </c>
      <c r="I123" s="66">
        <v>0</v>
      </c>
    </row>
    <row r="124" spans="1:9" s="62" customFormat="1" ht="14.25" customHeight="1">
      <c r="A124" s="101" t="s">
        <v>987</v>
      </c>
      <c r="B124" s="228" t="s">
        <v>151</v>
      </c>
      <c r="C124" s="310">
        <v>3.375</v>
      </c>
      <c r="D124" s="311" t="s">
        <v>1118</v>
      </c>
      <c r="E124" s="234">
        <v>39493</v>
      </c>
      <c r="F124" s="102">
        <v>23885083</v>
      </c>
      <c r="G124" s="102">
        <v>23702283</v>
      </c>
      <c r="H124" s="102">
        <f>SUM(F124-G124)</f>
        <v>182800</v>
      </c>
      <c r="I124" s="66">
        <v>0</v>
      </c>
    </row>
    <row r="125" spans="1:9" s="62" customFormat="1" ht="14.25" customHeight="1">
      <c r="A125" s="271" t="s">
        <v>1026</v>
      </c>
      <c r="B125" s="228" t="s">
        <v>160</v>
      </c>
      <c r="C125" s="310">
        <v>5.625</v>
      </c>
      <c r="D125" s="311" t="s">
        <v>1119</v>
      </c>
      <c r="E125" s="234">
        <v>39583</v>
      </c>
      <c r="F125" s="102">
        <v>27190961</v>
      </c>
      <c r="G125" s="102">
        <v>25667362</v>
      </c>
      <c r="H125" s="102">
        <f t="shared" si="3"/>
        <v>1523599</v>
      </c>
      <c r="I125" s="66">
        <v>232200</v>
      </c>
    </row>
    <row r="126" spans="1:9" s="62" customFormat="1" ht="14.25" customHeight="1">
      <c r="A126" s="101" t="s">
        <v>231</v>
      </c>
      <c r="B126" s="228" t="s">
        <v>149</v>
      </c>
      <c r="C126" s="310">
        <v>2.625</v>
      </c>
      <c r="D126" s="311" t="s">
        <v>1120</v>
      </c>
      <c r="E126" s="234">
        <v>39583</v>
      </c>
      <c r="F126" s="102">
        <v>33338446</v>
      </c>
      <c r="G126" s="102">
        <v>33338446</v>
      </c>
      <c r="H126" s="102">
        <f t="shared" si="3"/>
        <v>0</v>
      </c>
      <c r="I126" s="66">
        <v>0</v>
      </c>
    </row>
    <row r="127" spans="1:9" s="62" customFormat="1" ht="14.25" customHeight="1">
      <c r="A127" s="101" t="s">
        <v>470</v>
      </c>
      <c r="B127" s="228" t="s">
        <v>155</v>
      </c>
      <c r="C127" s="310">
        <v>3.75</v>
      </c>
      <c r="D127" s="311" t="s">
        <v>471</v>
      </c>
      <c r="E127" s="234">
        <v>39583</v>
      </c>
      <c r="F127" s="102">
        <v>26707681</v>
      </c>
      <c r="G127" s="102">
        <v>26613881</v>
      </c>
      <c r="H127" s="102">
        <f t="shared" si="3"/>
        <v>93800</v>
      </c>
      <c r="I127" s="66">
        <v>0</v>
      </c>
    </row>
    <row r="128" spans="1:9" s="62" customFormat="1" ht="14.25" customHeight="1">
      <c r="A128" s="101" t="s">
        <v>988</v>
      </c>
      <c r="B128" s="228" t="s">
        <v>158</v>
      </c>
      <c r="C128" s="310">
        <v>3.25</v>
      </c>
      <c r="D128" s="311" t="s">
        <v>1127</v>
      </c>
      <c r="E128" s="234">
        <v>39675</v>
      </c>
      <c r="F128" s="102">
        <v>21357474</v>
      </c>
      <c r="G128" s="102">
        <v>20758854</v>
      </c>
      <c r="H128" s="102">
        <f t="shared" si="3"/>
        <v>598620</v>
      </c>
      <c r="I128" s="66">
        <v>800</v>
      </c>
    </row>
    <row r="129" spans="1:9" s="62" customFormat="1" ht="14.25" customHeight="1">
      <c r="A129" s="101" t="s">
        <v>989</v>
      </c>
      <c r="B129" s="228" t="s">
        <v>163</v>
      </c>
      <c r="C129" s="310">
        <v>3.125</v>
      </c>
      <c r="D129" s="311" t="s">
        <v>1128</v>
      </c>
      <c r="E129" s="234">
        <v>39706</v>
      </c>
      <c r="F129" s="102">
        <v>16002177</v>
      </c>
      <c r="G129" s="102">
        <v>15987777</v>
      </c>
      <c r="H129" s="102">
        <f t="shared" si="3"/>
        <v>14400</v>
      </c>
      <c r="I129" s="66">
        <v>0</v>
      </c>
    </row>
    <row r="130" spans="1:9" s="62" customFormat="1" ht="14.25" customHeight="1">
      <c r="A130" s="101" t="s">
        <v>990</v>
      </c>
      <c r="B130" s="228" t="s">
        <v>1045</v>
      </c>
      <c r="C130" s="310">
        <v>3.125</v>
      </c>
      <c r="D130" s="311" t="s">
        <v>1129</v>
      </c>
      <c r="E130" s="234">
        <v>39736</v>
      </c>
      <c r="F130" s="102">
        <v>15995702</v>
      </c>
      <c r="G130" s="102">
        <v>15995702</v>
      </c>
      <c r="H130" s="102">
        <f t="shared" si="3"/>
        <v>0</v>
      </c>
      <c r="I130" s="66">
        <v>0</v>
      </c>
    </row>
    <row r="131" spans="1:9" s="62" customFormat="1" ht="14.25" customHeight="1">
      <c r="A131" s="271" t="s">
        <v>232</v>
      </c>
      <c r="B131" s="228" t="s">
        <v>165</v>
      </c>
      <c r="C131" s="310">
        <v>4.75</v>
      </c>
      <c r="D131" s="311" t="s">
        <v>1130</v>
      </c>
      <c r="E131" s="234">
        <v>39767</v>
      </c>
      <c r="F131" s="102">
        <v>25083125</v>
      </c>
      <c r="G131" s="102">
        <v>24746680</v>
      </c>
      <c r="H131" s="102">
        <f t="shared" si="3"/>
        <v>336445</v>
      </c>
      <c r="I131" s="66">
        <v>13600</v>
      </c>
    </row>
    <row r="132" spans="1:9" s="62" customFormat="1" ht="14.25" customHeight="1">
      <c r="A132" s="101" t="s">
        <v>701</v>
      </c>
      <c r="B132" s="228" t="s">
        <v>1016</v>
      </c>
      <c r="C132" s="310">
        <v>3.375</v>
      </c>
      <c r="D132" s="311" t="s">
        <v>1131</v>
      </c>
      <c r="E132" s="234">
        <v>39767</v>
      </c>
      <c r="F132" s="102">
        <v>18181033</v>
      </c>
      <c r="G132" s="102">
        <v>17940809</v>
      </c>
      <c r="H132" s="102">
        <f t="shared" si="3"/>
        <v>240224</v>
      </c>
      <c r="I132" s="66">
        <v>0</v>
      </c>
    </row>
    <row r="133" spans="1:9" s="62" customFormat="1" ht="14.25" customHeight="1">
      <c r="A133" s="101" t="s">
        <v>991</v>
      </c>
      <c r="B133" s="228" t="s">
        <v>1017</v>
      </c>
      <c r="C133" s="310">
        <v>3.375</v>
      </c>
      <c r="D133" s="311" t="s">
        <v>198</v>
      </c>
      <c r="E133" s="234">
        <v>39797</v>
      </c>
      <c r="F133" s="102">
        <v>16000028</v>
      </c>
      <c r="G133" s="102">
        <v>16000028</v>
      </c>
      <c r="H133" s="102">
        <f t="shared" si="3"/>
        <v>0</v>
      </c>
      <c r="I133" s="66">
        <v>0</v>
      </c>
    </row>
    <row r="134" spans="1:9" s="62" customFormat="1" ht="14.25" customHeight="1">
      <c r="A134" s="101" t="s">
        <v>992</v>
      </c>
      <c r="B134" s="228" t="s">
        <v>165</v>
      </c>
      <c r="C134" s="310">
        <v>3.25</v>
      </c>
      <c r="D134" s="311" t="s">
        <v>199</v>
      </c>
      <c r="E134" s="234">
        <v>39828</v>
      </c>
      <c r="F134" s="102">
        <v>16002546</v>
      </c>
      <c r="G134" s="102">
        <v>16002546</v>
      </c>
      <c r="H134" s="102">
        <f t="shared" si="3"/>
        <v>0</v>
      </c>
      <c r="I134" s="66">
        <v>0</v>
      </c>
    </row>
    <row r="135" spans="1:9" s="62" customFormat="1" ht="14.25" customHeight="1">
      <c r="A135" s="101" t="s">
        <v>993</v>
      </c>
      <c r="B135" s="228" t="s">
        <v>1043</v>
      </c>
      <c r="C135" s="310">
        <v>3</v>
      </c>
      <c r="D135" s="311" t="s">
        <v>1121</v>
      </c>
      <c r="E135" s="234">
        <v>39859</v>
      </c>
      <c r="F135" s="102">
        <v>17433763</v>
      </c>
      <c r="G135" s="102">
        <v>17300093</v>
      </c>
      <c r="H135" s="102">
        <f t="shared" si="3"/>
        <v>133670</v>
      </c>
      <c r="I135" s="66">
        <v>0</v>
      </c>
    </row>
    <row r="136" spans="1:9" s="62" customFormat="1" ht="14.25" customHeight="1">
      <c r="A136" s="101" t="s">
        <v>994</v>
      </c>
      <c r="B136" s="228" t="s">
        <v>149</v>
      </c>
      <c r="C136" s="310">
        <v>2.625</v>
      </c>
      <c r="D136" s="311" t="s">
        <v>1122</v>
      </c>
      <c r="E136" s="234">
        <v>39887</v>
      </c>
      <c r="F136" s="102">
        <v>16001063</v>
      </c>
      <c r="G136" s="102">
        <v>15999463</v>
      </c>
      <c r="H136" s="102">
        <f t="shared" si="3"/>
        <v>1600</v>
      </c>
      <c r="I136" s="66">
        <v>0</v>
      </c>
    </row>
    <row r="137" spans="1:9" s="62" customFormat="1" ht="14.25" customHeight="1">
      <c r="A137" s="101" t="s">
        <v>995</v>
      </c>
      <c r="B137" s="228" t="s">
        <v>158</v>
      </c>
      <c r="C137" s="310">
        <v>3.125</v>
      </c>
      <c r="D137" s="311" t="s">
        <v>1123</v>
      </c>
      <c r="E137" s="234">
        <v>39918</v>
      </c>
      <c r="F137" s="102">
        <v>16002805</v>
      </c>
      <c r="G137" s="102">
        <v>16002805</v>
      </c>
      <c r="H137" s="102">
        <f>SUM(F137-G137)</f>
        <v>0</v>
      </c>
      <c r="I137" s="66">
        <v>0</v>
      </c>
    </row>
    <row r="138" spans="1:9" s="62" customFormat="1" ht="14.25" customHeight="1">
      <c r="A138" s="271" t="s">
        <v>702</v>
      </c>
      <c r="B138" s="228" t="s">
        <v>153</v>
      </c>
      <c r="C138" s="310">
        <v>5.5</v>
      </c>
      <c r="D138" s="311" t="s">
        <v>1124</v>
      </c>
      <c r="E138" s="234">
        <v>39948</v>
      </c>
      <c r="F138" s="102">
        <v>14794790</v>
      </c>
      <c r="G138" s="102">
        <v>14704490</v>
      </c>
      <c r="H138" s="102">
        <f t="shared" si="3"/>
        <v>90300</v>
      </c>
      <c r="I138" s="66">
        <v>28600</v>
      </c>
    </row>
    <row r="139" spans="1:9" s="62" customFormat="1" ht="14.25" customHeight="1">
      <c r="A139" s="271" t="s">
        <v>172</v>
      </c>
      <c r="B139" s="228" t="s">
        <v>163</v>
      </c>
      <c r="C139" s="310">
        <v>3.875</v>
      </c>
      <c r="D139" s="311" t="s">
        <v>1125</v>
      </c>
      <c r="E139" s="234">
        <v>39948</v>
      </c>
      <c r="F139" s="102">
        <v>18059937</v>
      </c>
      <c r="G139" s="102">
        <v>17766627</v>
      </c>
      <c r="H139" s="102">
        <f>SUM(F139-G139)</f>
        <v>293310</v>
      </c>
      <c r="I139" s="66">
        <v>18600</v>
      </c>
    </row>
    <row r="140" spans="1:9" s="62" customFormat="1" ht="14.25" customHeight="1">
      <c r="A140" s="101" t="s">
        <v>996</v>
      </c>
      <c r="B140" s="228" t="s">
        <v>1045</v>
      </c>
      <c r="C140" s="310">
        <v>4</v>
      </c>
      <c r="D140" s="311" t="s">
        <v>1126</v>
      </c>
      <c r="E140" s="234">
        <v>39979</v>
      </c>
      <c r="F140" s="102">
        <v>15004754</v>
      </c>
      <c r="G140" s="102">
        <v>15004754</v>
      </c>
      <c r="H140" s="102">
        <f>SUM(F140-G140)</f>
        <v>0</v>
      </c>
      <c r="I140" s="66">
        <v>0</v>
      </c>
    </row>
    <row r="141" spans="1:9" s="62" customFormat="1" ht="14.25" customHeight="1">
      <c r="A141" s="101" t="s">
        <v>997</v>
      </c>
      <c r="B141" s="228" t="s">
        <v>1016</v>
      </c>
      <c r="C141" s="310">
        <v>3.625</v>
      </c>
      <c r="D141" s="311" t="s">
        <v>204</v>
      </c>
      <c r="E141" s="234">
        <v>40009</v>
      </c>
      <c r="F141" s="102">
        <v>15004962</v>
      </c>
      <c r="G141" s="102">
        <v>14998162</v>
      </c>
      <c r="H141" s="102">
        <f>SUM(F141-G141)</f>
        <v>6800</v>
      </c>
      <c r="I141" s="66">
        <v>0</v>
      </c>
    </row>
    <row r="142" spans="1:9" s="62" customFormat="1" ht="14.25" customHeight="1">
      <c r="A142" s="101" t="s">
        <v>173</v>
      </c>
      <c r="B142" s="228" t="s">
        <v>160</v>
      </c>
      <c r="C142" s="310">
        <v>6</v>
      </c>
      <c r="D142" s="311" t="s">
        <v>899</v>
      </c>
      <c r="E142" s="234">
        <v>40040</v>
      </c>
      <c r="F142" s="102">
        <v>27399894</v>
      </c>
      <c r="G142" s="102">
        <v>26429278</v>
      </c>
      <c r="H142" s="102">
        <f aca="true" t="shared" si="4" ref="H142:H165">SUM(F142-G142)</f>
        <v>970616</v>
      </c>
      <c r="I142" s="66">
        <v>109100</v>
      </c>
    </row>
    <row r="143" spans="1:9" s="62" customFormat="1" ht="14.25" customHeight="1">
      <c r="A143" s="101" t="s">
        <v>683</v>
      </c>
      <c r="B143" s="228" t="s">
        <v>1017</v>
      </c>
      <c r="C143" s="310">
        <v>3.5</v>
      </c>
      <c r="D143" s="311" t="s">
        <v>900</v>
      </c>
      <c r="E143" s="234">
        <v>40040</v>
      </c>
      <c r="F143" s="102">
        <v>17294686</v>
      </c>
      <c r="G143" s="102">
        <v>17251086</v>
      </c>
      <c r="H143" s="102">
        <f t="shared" si="4"/>
        <v>43600</v>
      </c>
      <c r="I143" s="66">
        <v>0</v>
      </c>
    </row>
    <row r="144" spans="1:9" s="62" customFormat="1" ht="14.25" customHeight="1">
      <c r="A144" s="101" t="s">
        <v>998</v>
      </c>
      <c r="B144" s="228" t="s">
        <v>151</v>
      </c>
      <c r="C144" s="310">
        <v>3.375</v>
      </c>
      <c r="D144" s="311" t="s">
        <v>901</v>
      </c>
      <c r="E144" s="234">
        <v>40071</v>
      </c>
      <c r="F144" s="102">
        <v>15005079</v>
      </c>
      <c r="G144" s="102">
        <v>15005079</v>
      </c>
      <c r="H144" s="102">
        <f>SUM(F144-G144)</f>
        <v>0</v>
      </c>
      <c r="I144" s="66">
        <v>0</v>
      </c>
    </row>
    <row r="145" spans="1:9" s="62" customFormat="1" ht="14.25" customHeight="1">
      <c r="A145" s="101" t="s">
        <v>999</v>
      </c>
      <c r="B145" s="228" t="s">
        <v>155</v>
      </c>
      <c r="C145" s="310">
        <v>3.375</v>
      </c>
      <c r="D145" s="311" t="s">
        <v>902</v>
      </c>
      <c r="E145" s="234">
        <v>40101</v>
      </c>
      <c r="F145" s="102">
        <v>15005091</v>
      </c>
      <c r="G145" s="102">
        <v>14944291</v>
      </c>
      <c r="H145" s="102">
        <f>SUM(F145-G145)</f>
        <v>60800</v>
      </c>
      <c r="I145" s="66">
        <v>0</v>
      </c>
    </row>
    <row r="146" spans="1:9" s="62" customFormat="1" ht="14.25" customHeight="1">
      <c r="A146" s="101" t="s">
        <v>1000</v>
      </c>
      <c r="B146" s="228" t="s">
        <v>157</v>
      </c>
      <c r="C146" s="310">
        <v>3.5</v>
      </c>
      <c r="D146" s="311" t="s">
        <v>903</v>
      </c>
      <c r="E146" s="234">
        <v>40132</v>
      </c>
      <c r="F146" s="102">
        <v>18751928</v>
      </c>
      <c r="G146" s="102">
        <v>18708328</v>
      </c>
      <c r="H146" s="102">
        <f>SUM(F146-G146)</f>
        <v>43600</v>
      </c>
      <c r="I146" s="66">
        <v>5800</v>
      </c>
    </row>
    <row r="147" spans="1:9" s="62" customFormat="1" ht="14.25" customHeight="1">
      <c r="A147" s="101" t="s">
        <v>1001</v>
      </c>
      <c r="B147" s="228" t="s">
        <v>159</v>
      </c>
      <c r="C147" s="310">
        <v>3.5</v>
      </c>
      <c r="D147" s="311" t="s">
        <v>847</v>
      </c>
      <c r="E147" s="234">
        <v>40162</v>
      </c>
      <c r="F147" s="102">
        <v>15002485</v>
      </c>
      <c r="G147" s="102">
        <v>15002485</v>
      </c>
      <c r="H147" s="102">
        <f>SUM(F147-G147)</f>
        <v>0</v>
      </c>
      <c r="I147" s="66">
        <v>0</v>
      </c>
    </row>
    <row r="148" spans="1:9" s="62" customFormat="1" ht="14.25" customHeight="1">
      <c r="A148" s="101" t="s">
        <v>1002</v>
      </c>
      <c r="B148" s="228" t="s">
        <v>1043</v>
      </c>
      <c r="C148" s="310">
        <v>3.625</v>
      </c>
      <c r="D148" s="311" t="s">
        <v>848</v>
      </c>
      <c r="E148" s="234">
        <v>40193</v>
      </c>
      <c r="F148" s="102">
        <v>15004697</v>
      </c>
      <c r="G148" s="102">
        <v>14997897</v>
      </c>
      <c r="H148" s="102">
        <f>SUM(F148-G148)</f>
        <v>6800</v>
      </c>
      <c r="I148" s="66">
        <v>0</v>
      </c>
    </row>
    <row r="149" spans="1:9" s="62" customFormat="1" ht="14.25" customHeight="1">
      <c r="A149" s="271" t="s">
        <v>682</v>
      </c>
      <c r="B149" s="228" t="s">
        <v>153</v>
      </c>
      <c r="C149" s="310">
        <v>6.5</v>
      </c>
      <c r="D149" s="311" t="s">
        <v>849</v>
      </c>
      <c r="E149" s="234">
        <v>40224</v>
      </c>
      <c r="F149" s="102">
        <v>23355709</v>
      </c>
      <c r="G149" s="102">
        <v>21970239</v>
      </c>
      <c r="H149" s="102">
        <f t="shared" si="4"/>
        <v>1385470</v>
      </c>
      <c r="I149" s="66">
        <v>68400</v>
      </c>
    </row>
    <row r="150" spans="1:9" s="62" customFormat="1" ht="14.25" customHeight="1">
      <c r="A150" s="101" t="s">
        <v>359</v>
      </c>
      <c r="B150" s="228" t="s">
        <v>149</v>
      </c>
      <c r="C150" s="310">
        <v>3.5</v>
      </c>
      <c r="D150" s="311" t="s">
        <v>850</v>
      </c>
      <c r="E150" s="234">
        <v>40224</v>
      </c>
      <c r="F150" s="102">
        <v>16617068</v>
      </c>
      <c r="G150" s="102">
        <v>16616948</v>
      </c>
      <c r="H150" s="102">
        <f aca="true" t="shared" si="5" ref="H150:H155">SUM(F150-G150)</f>
        <v>120</v>
      </c>
      <c r="I150" s="66">
        <v>0</v>
      </c>
    </row>
    <row r="151" spans="1:9" s="62" customFormat="1" ht="14.25" customHeight="1">
      <c r="A151" s="101" t="s">
        <v>14</v>
      </c>
      <c r="B151" s="228" t="s">
        <v>158</v>
      </c>
      <c r="C151" s="310">
        <v>4</v>
      </c>
      <c r="D151" s="311" t="s">
        <v>15</v>
      </c>
      <c r="E151" s="234">
        <v>40252</v>
      </c>
      <c r="F151" s="102">
        <v>15005048</v>
      </c>
      <c r="G151" s="102">
        <v>15005048</v>
      </c>
      <c r="H151" s="102">
        <f t="shared" si="5"/>
        <v>0</v>
      </c>
      <c r="I151" s="66">
        <v>0</v>
      </c>
    </row>
    <row r="152" spans="1:9" s="62" customFormat="1" ht="14.25" customHeight="1">
      <c r="A152" s="101" t="s">
        <v>736</v>
      </c>
      <c r="B152" s="228" t="s">
        <v>163</v>
      </c>
      <c r="C152" s="310">
        <v>4</v>
      </c>
      <c r="D152" s="311" t="s">
        <v>737</v>
      </c>
      <c r="E152" s="234">
        <v>40283</v>
      </c>
      <c r="F152" s="102">
        <v>15001494</v>
      </c>
      <c r="G152" s="102">
        <v>15001494</v>
      </c>
      <c r="H152" s="102">
        <f t="shared" si="5"/>
        <v>0</v>
      </c>
      <c r="I152" s="66">
        <v>0</v>
      </c>
    </row>
    <row r="153" spans="1:9" s="62" customFormat="1" ht="14.25" customHeight="1">
      <c r="A153" s="101" t="s">
        <v>472</v>
      </c>
      <c r="B153" s="228" t="s">
        <v>1045</v>
      </c>
      <c r="C153" s="310">
        <v>3.875</v>
      </c>
      <c r="D153" s="311" t="s">
        <v>473</v>
      </c>
      <c r="E153" s="234">
        <v>40313</v>
      </c>
      <c r="F153" s="102">
        <v>18748844</v>
      </c>
      <c r="G153" s="102">
        <v>18436044</v>
      </c>
      <c r="H153" s="102">
        <f t="shared" si="5"/>
        <v>312800</v>
      </c>
      <c r="I153" s="66">
        <v>6800</v>
      </c>
    </row>
    <row r="154" spans="1:9" s="62" customFormat="1" ht="14.25" customHeight="1">
      <c r="A154" s="101" t="s">
        <v>216</v>
      </c>
      <c r="B154" s="228" t="s">
        <v>1016</v>
      </c>
      <c r="C154" s="310">
        <v>3.625</v>
      </c>
      <c r="D154" s="311" t="s">
        <v>221</v>
      </c>
      <c r="E154" s="234">
        <v>40344</v>
      </c>
      <c r="F154" s="102">
        <v>14001099</v>
      </c>
      <c r="G154" s="102">
        <v>14001099</v>
      </c>
      <c r="H154" s="102">
        <f t="shared" si="5"/>
        <v>0</v>
      </c>
      <c r="I154" s="66">
        <v>0</v>
      </c>
    </row>
    <row r="155" spans="1:9" s="62" customFormat="1" ht="14.25" customHeight="1">
      <c r="A155" s="101" t="s">
        <v>94</v>
      </c>
      <c r="B155" s="228" t="s">
        <v>1017</v>
      </c>
      <c r="C155" s="310">
        <v>3.875</v>
      </c>
      <c r="D155" s="311" t="s">
        <v>95</v>
      </c>
      <c r="E155" s="234">
        <v>40374</v>
      </c>
      <c r="F155" s="102">
        <v>13000529</v>
      </c>
      <c r="G155" s="102">
        <v>13000529</v>
      </c>
      <c r="H155" s="102">
        <f t="shared" si="5"/>
        <v>0</v>
      </c>
      <c r="I155" s="66">
        <v>0</v>
      </c>
    </row>
    <row r="156" spans="1:9" s="62" customFormat="1" ht="14.25" customHeight="1">
      <c r="A156" s="271" t="s">
        <v>360</v>
      </c>
      <c r="B156" s="228" t="s">
        <v>160</v>
      </c>
      <c r="C156" s="310">
        <v>5.75</v>
      </c>
      <c r="D156" s="311" t="s">
        <v>851</v>
      </c>
      <c r="E156" s="234">
        <v>40405</v>
      </c>
      <c r="F156" s="102">
        <v>22437594</v>
      </c>
      <c r="G156" s="102">
        <v>20861732</v>
      </c>
      <c r="H156" s="102">
        <f t="shared" si="4"/>
        <v>1575862</v>
      </c>
      <c r="I156" s="66">
        <v>164480</v>
      </c>
    </row>
    <row r="157" spans="1:9" s="62" customFormat="1" ht="14.25" customHeight="1">
      <c r="A157" s="271" t="s">
        <v>635</v>
      </c>
      <c r="B157" s="228" t="s">
        <v>153</v>
      </c>
      <c r="C157" s="310">
        <v>5</v>
      </c>
      <c r="D157" s="311" t="s">
        <v>852</v>
      </c>
      <c r="E157" s="234">
        <v>40589</v>
      </c>
      <c r="F157" s="102">
        <v>23436329</v>
      </c>
      <c r="G157" s="102">
        <v>22983589</v>
      </c>
      <c r="H157" s="102">
        <f t="shared" si="4"/>
        <v>452740</v>
      </c>
      <c r="I157" s="66">
        <v>15340</v>
      </c>
    </row>
    <row r="158" spans="1:9" s="62" customFormat="1" ht="14.25" customHeight="1">
      <c r="A158" s="271" t="s">
        <v>636</v>
      </c>
      <c r="B158" s="228" t="s">
        <v>160</v>
      </c>
      <c r="C158" s="310">
        <v>5</v>
      </c>
      <c r="D158" s="311" t="s">
        <v>853</v>
      </c>
      <c r="E158" s="234">
        <v>40770</v>
      </c>
      <c r="F158" s="102">
        <v>26635316</v>
      </c>
      <c r="G158" s="102">
        <v>26210936</v>
      </c>
      <c r="H158" s="102">
        <f t="shared" si="4"/>
        <v>424380</v>
      </c>
      <c r="I158" s="66">
        <v>325000</v>
      </c>
    </row>
    <row r="159" spans="1:9" s="62" customFormat="1" ht="14.25" customHeight="1">
      <c r="A159" s="271" t="s">
        <v>637</v>
      </c>
      <c r="B159" s="228" t="s">
        <v>153</v>
      </c>
      <c r="C159" s="310">
        <v>4.875</v>
      </c>
      <c r="D159" s="311" t="s">
        <v>854</v>
      </c>
      <c r="E159" s="234">
        <v>40954</v>
      </c>
      <c r="F159" s="102">
        <v>24779838</v>
      </c>
      <c r="G159" s="102">
        <v>24730638</v>
      </c>
      <c r="H159" s="102">
        <f t="shared" si="4"/>
        <v>49200</v>
      </c>
      <c r="I159" s="66">
        <v>0</v>
      </c>
    </row>
    <row r="160" spans="1:9" s="62" customFormat="1" ht="14.25" customHeight="1">
      <c r="A160" s="101" t="s">
        <v>1025</v>
      </c>
      <c r="B160" s="228" t="s">
        <v>165</v>
      </c>
      <c r="C160" s="310">
        <v>4.375</v>
      </c>
      <c r="D160" s="311" t="s">
        <v>855</v>
      </c>
      <c r="E160" s="234">
        <v>41136</v>
      </c>
      <c r="F160" s="102">
        <v>19647976</v>
      </c>
      <c r="G160" s="102">
        <v>19588376</v>
      </c>
      <c r="H160" s="102">
        <f t="shared" si="4"/>
        <v>59600</v>
      </c>
      <c r="I160" s="66">
        <v>57600</v>
      </c>
    </row>
    <row r="161" spans="1:9" s="62" customFormat="1" ht="14.25" customHeight="1">
      <c r="A161" s="101" t="s">
        <v>1003</v>
      </c>
      <c r="B161" s="228" t="s">
        <v>1043</v>
      </c>
      <c r="C161" s="310">
        <v>4</v>
      </c>
      <c r="D161" s="311" t="s">
        <v>856</v>
      </c>
      <c r="E161" s="234">
        <v>41228</v>
      </c>
      <c r="F161" s="102">
        <v>18112742</v>
      </c>
      <c r="G161" s="102">
        <v>18112542</v>
      </c>
      <c r="H161" s="102">
        <f t="shared" si="4"/>
        <v>200</v>
      </c>
      <c r="I161" s="66">
        <v>50000</v>
      </c>
    </row>
    <row r="162" spans="1:9" s="62" customFormat="1" ht="14.25" customHeight="1">
      <c r="A162" s="101" t="s">
        <v>1004</v>
      </c>
      <c r="B162" s="228" t="s">
        <v>1047</v>
      </c>
      <c r="C162" s="310">
        <v>3.875</v>
      </c>
      <c r="D162" s="311" t="s">
        <v>857</v>
      </c>
      <c r="E162" s="275">
        <v>41320</v>
      </c>
      <c r="F162" s="276">
        <v>19498396</v>
      </c>
      <c r="G162" s="102">
        <v>19425156</v>
      </c>
      <c r="H162" s="102">
        <f t="shared" si="4"/>
        <v>73240</v>
      </c>
      <c r="I162" s="66">
        <v>353600</v>
      </c>
    </row>
    <row r="163" spans="1:9" s="62" customFormat="1" ht="14.25" customHeight="1">
      <c r="A163" s="101" t="s">
        <v>1005</v>
      </c>
      <c r="B163" s="228" t="s">
        <v>153</v>
      </c>
      <c r="C163" s="310">
        <v>3.625</v>
      </c>
      <c r="D163" s="311" t="s">
        <v>858</v>
      </c>
      <c r="E163" s="234">
        <v>41409</v>
      </c>
      <c r="F163" s="102">
        <v>18253553</v>
      </c>
      <c r="G163" s="102">
        <v>18247153</v>
      </c>
      <c r="H163" s="102">
        <f t="shared" si="4"/>
        <v>6400</v>
      </c>
      <c r="I163" s="66">
        <v>56000</v>
      </c>
    </row>
    <row r="164" spans="1:9" s="62" customFormat="1" ht="14.25" customHeight="1">
      <c r="A164" s="101" t="s">
        <v>1006</v>
      </c>
      <c r="B164" s="228" t="s">
        <v>165</v>
      </c>
      <c r="C164" s="310">
        <v>4.25</v>
      </c>
      <c r="D164" s="311" t="s">
        <v>859</v>
      </c>
      <c r="E164" s="234">
        <v>41501</v>
      </c>
      <c r="F164" s="102">
        <v>33521123</v>
      </c>
      <c r="G164" s="102">
        <v>33497923</v>
      </c>
      <c r="H164" s="102">
        <f t="shared" si="4"/>
        <v>23200</v>
      </c>
      <c r="I164" s="66">
        <v>0</v>
      </c>
    </row>
    <row r="165" spans="1:9" s="62" customFormat="1" ht="14.25" customHeight="1">
      <c r="A165" s="101" t="s">
        <v>1007</v>
      </c>
      <c r="B165" s="228" t="s">
        <v>1043</v>
      </c>
      <c r="C165" s="310">
        <v>4.25</v>
      </c>
      <c r="D165" s="311" t="s">
        <v>860</v>
      </c>
      <c r="E165" s="234">
        <v>41593</v>
      </c>
      <c r="F165" s="102">
        <v>30636844</v>
      </c>
      <c r="G165" s="102">
        <v>30636844</v>
      </c>
      <c r="H165" s="102">
        <f t="shared" si="4"/>
        <v>0</v>
      </c>
      <c r="I165" s="66">
        <v>0</v>
      </c>
    </row>
    <row r="166" spans="1:9" s="62" customFormat="1" ht="14.25" customHeight="1">
      <c r="A166" s="101" t="s">
        <v>1008</v>
      </c>
      <c r="B166" s="228" t="s">
        <v>153</v>
      </c>
      <c r="C166" s="310">
        <v>4</v>
      </c>
      <c r="D166" s="311" t="s">
        <v>861</v>
      </c>
      <c r="E166" s="234">
        <v>41685</v>
      </c>
      <c r="F166" s="102">
        <v>28081066</v>
      </c>
      <c r="G166" s="102">
        <v>28079066</v>
      </c>
      <c r="H166" s="102">
        <f aca="true" t="shared" si="6" ref="H166:H171">SUM(F166-G166)</f>
        <v>2000</v>
      </c>
      <c r="I166" s="66">
        <v>0</v>
      </c>
    </row>
    <row r="167" spans="1:9" s="62" customFormat="1" ht="14.25" customHeight="1">
      <c r="A167" s="101" t="s">
        <v>1009</v>
      </c>
      <c r="B167" s="228" t="s">
        <v>160</v>
      </c>
      <c r="C167" s="310">
        <v>4.75</v>
      </c>
      <c r="D167" s="311" t="s">
        <v>862</v>
      </c>
      <c r="E167" s="234">
        <v>41774</v>
      </c>
      <c r="F167" s="102">
        <v>27302981</v>
      </c>
      <c r="G167" s="102">
        <v>27138561</v>
      </c>
      <c r="H167" s="102">
        <f t="shared" si="6"/>
        <v>164420</v>
      </c>
      <c r="I167" s="66">
        <v>0</v>
      </c>
    </row>
    <row r="168" spans="1:9" s="62" customFormat="1" ht="14.25" customHeight="1">
      <c r="A168" s="101" t="s">
        <v>632</v>
      </c>
      <c r="B168" s="228" t="s">
        <v>1043</v>
      </c>
      <c r="C168" s="310">
        <v>4.25</v>
      </c>
      <c r="D168" s="311" t="s">
        <v>863</v>
      </c>
      <c r="E168" s="234">
        <v>41866</v>
      </c>
      <c r="F168" s="102">
        <v>24721634</v>
      </c>
      <c r="G168" s="102">
        <v>24720834</v>
      </c>
      <c r="H168" s="102">
        <f t="shared" si="6"/>
        <v>800</v>
      </c>
      <c r="I168" s="66">
        <v>0</v>
      </c>
    </row>
    <row r="169" spans="1:9" s="62" customFormat="1" ht="14.25" customHeight="1">
      <c r="A169" s="101" t="s">
        <v>633</v>
      </c>
      <c r="B169" s="228" t="s">
        <v>149</v>
      </c>
      <c r="C169" s="310">
        <v>4.25</v>
      </c>
      <c r="D169" s="311" t="s">
        <v>864</v>
      </c>
      <c r="E169" s="234">
        <v>41958</v>
      </c>
      <c r="F169" s="102">
        <v>25472536</v>
      </c>
      <c r="G169" s="102">
        <v>25472536</v>
      </c>
      <c r="H169" s="102">
        <f t="shared" si="6"/>
        <v>0</v>
      </c>
      <c r="I169" s="66">
        <v>0</v>
      </c>
    </row>
    <row r="170" spans="1:9" s="62" customFormat="1" ht="14.25" customHeight="1">
      <c r="A170" s="101" t="s">
        <v>634</v>
      </c>
      <c r="B170" s="228" t="s">
        <v>153</v>
      </c>
      <c r="C170" s="310">
        <v>4</v>
      </c>
      <c r="D170" s="311" t="s">
        <v>846</v>
      </c>
      <c r="E170" s="234">
        <v>42050</v>
      </c>
      <c r="F170" s="102">
        <v>24214991</v>
      </c>
      <c r="G170" s="102">
        <v>24214991</v>
      </c>
      <c r="H170" s="102">
        <f t="shared" si="6"/>
        <v>0</v>
      </c>
      <c r="I170" s="66">
        <v>0</v>
      </c>
    </row>
    <row r="171" spans="1:9" s="62" customFormat="1" ht="14.25" customHeight="1">
      <c r="A171" s="101" t="s">
        <v>474</v>
      </c>
      <c r="B171" s="228" t="s">
        <v>160</v>
      </c>
      <c r="C171" s="346">
        <v>4.125</v>
      </c>
      <c r="D171" s="311" t="s">
        <v>475</v>
      </c>
      <c r="E171" s="234">
        <v>42139</v>
      </c>
      <c r="F171" s="102">
        <v>24471849</v>
      </c>
      <c r="G171" s="102">
        <v>24471849</v>
      </c>
      <c r="H171" s="102">
        <f t="shared" si="6"/>
        <v>0</v>
      </c>
      <c r="I171" s="66">
        <v>0</v>
      </c>
    </row>
    <row r="172" spans="1:9" s="62" customFormat="1" ht="14.25" customHeight="1">
      <c r="A172" s="101"/>
      <c r="B172" s="228"/>
      <c r="C172" s="346"/>
      <c r="D172" s="311"/>
      <c r="E172" s="234"/>
      <c r="F172" s="102"/>
      <c r="G172" s="102"/>
      <c r="H172" s="102"/>
      <c r="I172" s="66"/>
    </row>
    <row r="173" spans="1:9" s="344" customFormat="1" ht="19.5" customHeight="1">
      <c r="A173" s="344" t="s">
        <v>1068</v>
      </c>
      <c r="B173" s="347"/>
      <c r="C173" s="348"/>
      <c r="D173" s="349" t="s">
        <v>259</v>
      </c>
      <c r="E173" s="350"/>
      <c r="F173" s="351">
        <f>SUM(F78:F171)</f>
        <v>2256015672</v>
      </c>
      <c r="G173" s="351">
        <f>SUM(G78:G171)</f>
        <v>2230984749</v>
      </c>
      <c r="H173" s="351">
        <f>SUM(H78:H170)</f>
        <v>25030923</v>
      </c>
      <c r="I173" s="352">
        <f>SUM(I78:I171)</f>
        <v>2302280</v>
      </c>
    </row>
    <row r="174" spans="1:10" s="62" customFormat="1" ht="16.5" customHeight="1" thickBot="1">
      <c r="A174" s="312" t="s">
        <v>430</v>
      </c>
      <c r="B174" s="313"/>
      <c r="C174" s="313"/>
      <c r="D174" s="313"/>
      <c r="E174" s="313"/>
      <c r="F174" s="314">
        <f>SUM(+F55+F173+F75)</f>
        <v>3048966981.625</v>
      </c>
      <c r="G174" s="314">
        <f>SUM(+G55+G173+G75)</f>
        <v>2872099174.525</v>
      </c>
      <c r="H174" s="315">
        <f>SUM(+H55+H173+H75)</f>
        <v>176867807.1</v>
      </c>
      <c r="I174" s="316">
        <f>SUM(+I55+I173+I75)</f>
        <v>18663664</v>
      </c>
      <c r="J174" s="236"/>
    </row>
    <row r="175" s="62" customFormat="1" ht="15.75" thickTop="1"/>
    <row r="176" s="62" customFormat="1" ht="15"/>
    <row r="177" s="62" customFormat="1" ht="15"/>
    <row r="178" s="62" customFormat="1" ht="15"/>
    <row r="179" s="62" customFormat="1" ht="15"/>
    <row r="180" s="62" customFormat="1" ht="15"/>
    <row r="181" s="62" customFormat="1" ht="15"/>
    <row r="182" s="62" customFormat="1" ht="15"/>
    <row r="183" s="62" customFormat="1" ht="15"/>
    <row r="184" s="62" customFormat="1" ht="15"/>
    <row r="185" s="62" customFormat="1" ht="15"/>
    <row r="186" s="62" customFormat="1" ht="15"/>
    <row r="187" s="62" customFormat="1" ht="15"/>
    <row r="188" s="62" customFormat="1" ht="15"/>
    <row r="189" s="62" customFormat="1" ht="15"/>
    <row r="190" s="62" customFormat="1" ht="15"/>
    <row r="191" s="62" customFormat="1" ht="15"/>
    <row r="192" s="62" customFormat="1" ht="15"/>
    <row r="193" s="62" customFormat="1" ht="15"/>
    <row r="194" s="62" customFormat="1" ht="15"/>
    <row r="195" s="62" customFormat="1" ht="15"/>
    <row r="196" s="62" customFormat="1" ht="15"/>
    <row r="197" s="62" customFormat="1" ht="15"/>
    <row r="198" s="62" customFormat="1" ht="15"/>
    <row r="199" s="62" customFormat="1" ht="15"/>
    <row r="200" s="62" customFormat="1" ht="15"/>
    <row r="201" s="62" customFormat="1" ht="15"/>
    <row r="202" s="62" customFormat="1" ht="15"/>
    <row r="203" s="62" customFormat="1" ht="15"/>
    <row r="204" s="62" customFormat="1" ht="15"/>
    <row r="205" s="62" customFormat="1" ht="15"/>
    <row r="206" s="62" customFormat="1" ht="15"/>
    <row r="207" s="62" customFormat="1" ht="15"/>
    <row r="208" s="62" customFormat="1" ht="15"/>
    <row r="209" s="62" customFormat="1" ht="15"/>
    <row r="210" s="62" customFormat="1" ht="15"/>
  </sheetData>
  <printOptions horizontalCentered="1"/>
  <pageMargins left="0.5" right="0.5" top="0.4" bottom="0.25" header="0" footer="0"/>
  <pageSetup fitToHeight="2" horizontalDpi="300" verticalDpi="300" orientation="portrait" scale="4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showGridLines="0" view="pageBreakPreview" zoomScale="75" zoomScaleNormal="75" zoomScaleSheetLayoutView="75" workbookViewId="0" topLeftCell="A1">
      <selection activeCell="C2" sqref="C2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328" customFormat="1" ht="30.75" customHeight="1">
      <c r="A1" s="329">
        <v>12</v>
      </c>
      <c r="B1" s="326" t="s">
        <v>83</v>
      </c>
      <c r="C1" s="326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2" s="62" customFormat="1" ht="16.5" customHeight="1">
      <c r="A2" s="229" t="s">
        <v>431</v>
      </c>
      <c r="B2" s="101" t="s">
        <v>316</v>
      </c>
    </row>
    <row r="3" spans="1:3" s="62" customFormat="1" ht="16.5" customHeight="1">
      <c r="A3" s="49">
        <v>1</v>
      </c>
      <c r="B3" s="101" t="s">
        <v>584</v>
      </c>
      <c r="C3" s="216"/>
    </row>
    <row r="4" spans="1:3" s="62" customFormat="1" ht="16.5" customHeight="1">
      <c r="A4" s="49">
        <v>2</v>
      </c>
      <c r="B4" s="101" t="s">
        <v>759</v>
      </c>
      <c r="C4" s="216"/>
    </row>
    <row r="5" spans="1:3" s="62" customFormat="1" ht="16.5" customHeight="1">
      <c r="A5" s="49"/>
      <c r="B5" s="101" t="s">
        <v>369</v>
      </c>
      <c r="C5" s="216"/>
    </row>
    <row r="6" spans="1:3" s="62" customFormat="1" ht="16.5" customHeight="1">
      <c r="A6" s="49">
        <v>3</v>
      </c>
      <c r="B6" s="101" t="s">
        <v>432</v>
      </c>
      <c r="C6" s="216"/>
    </row>
    <row r="7" spans="1:3" s="62" customFormat="1" ht="16.5" customHeight="1">
      <c r="A7" s="49">
        <v>4</v>
      </c>
      <c r="B7" s="101" t="s">
        <v>760</v>
      </c>
      <c r="C7" s="216"/>
    </row>
    <row r="8" spans="1:3" s="62" customFormat="1" ht="16.5" customHeight="1">
      <c r="A8" s="49">
        <v>5</v>
      </c>
      <c r="B8" s="101" t="s">
        <v>765</v>
      </c>
      <c r="C8" s="216"/>
    </row>
    <row r="9" spans="1:3" s="62" customFormat="1" ht="16.5" customHeight="1">
      <c r="A9" s="49">
        <v>6</v>
      </c>
      <c r="B9" s="101" t="s">
        <v>561</v>
      </c>
      <c r="C9" s="216"/>
    </row>
    <row r="10" spans="1:3" s="62" customFormat="1" ht="16.5" customHeight="1">
      <c r="A10" s="49"/>
      <c r="B10" s="101" t="s">
        <v>613</v>
      </c>
      <c r="C10" s="216"/>
    </row>
    <row r="11" spans="1:3" s="62" customFormat="1" ht="16.5" customHeight="1">
      <c r="A11" s="49"/>
      <c r="B11" s="101" t="s">
        <v>457</v>
      </c>
      <c r="C11" s="216"/>
    </row>
    <row r="12" spans="1:2" s="62" customFormat="1" ht="16.5" customHeight="1">
      <c r="A12" s="49">
        <v>7</v>
      </c>
      <c r="B12" s="101" t="s">
        <v>579</v>
      </c>
    </row>
    <row r="13" spans="1:2" s="62" customFormat="1" ht="16.5" customHeight="1">
      <c r="A13" s="49">
        <v>8</v>
      </c>
      <c r="B13" s="101" t="s">
        <v>348</v>
      </c>
    </row>
    <row r="14" spans="1:2" s="62" customFormat="1" ht="16.5" customHeight="1">
      <c r="A14" s="49">
        <v>9</v>
      </c>
      <c r="B14" s="101" t="s">
        <v>426</v>
      </c>
    </row>
    <row r="15" spans="1:2" s="62" customFormat="1" ht="16.5" customHeight="1">
      <c r="A15" s="49">
        <v>10</v>
      </c>
      <c r="B15" s="101" t="s">
        <v>427</v>
      </c>
    </row>
    <row r="16" spans="1:2" s="62" customFormat="1" ht="16.5" customHeight="1">
      <c r="A16" s="49">
        <v>11</v>
      </c>
      <c r="B16" s="101" t="s">
        <v>38</v>
      </c>
    </row>
    <row r="17" spans="1:2" s="62" customFormat="1" ht="16.5" customHeight="1">
      <c r="A17" s="49"/>
      <c r="B17" s="101" t="s">
        <v>39</v>
      </c>
    </row>
    <row r="18" spans="1:2" s="62" customFormat="1" ht="16.5" customHeight="1">
      <c r="A18" s="49">
        <v>12</v>
      </c>
      <c r="B18" s="101" t="s">
        <v>49</v>
      </c>
    </row>
    <row r="19" spans="1:2" s="62" customFormat="1" ht="16.5" customHeight="1">
      <c r="A19" s="49"/>
      <c r="B19" s="101" t="s">
        <v>440</v>
      </c>
    </row>
    <row r="20" spans="1:2" s="62" customFormat="1" ht="16.5" customHeight="1">
      <c r="A20" s="49"/>
      <c r="B20" s="101" t="s">
        <v>441</v>
      </c>
    </row>
    <row r="21" spans="1:2" s="62" customFormat="1" ht="16.5" customHeight="1">
      <c r="A21" s="49">
        <v>13</v>
      </c>
      <c r="B21" s="101" t="s">
        <v>1138</v>
      </c>
    </row>
    <row r="22" spans="1:2" s="62" customFormat="1" ht="16.5" customHeight="1">
      <c r="A22" s="49"/>
      <c r="B22" s="101" t="s">
        <v>928</v>
      </c>
    </row>
    <row r="23" spans="1:2" s="62" customFormat="1" ht="16.5" customHeight="1">
      <c r="A23" s="49">
        <v>14</v>
      </c>
      <c r="B23" s="101" t="s">
        <v>210</v>
      </c>
    </row>
    <row r="24" spans="1:2" s="62" customFormat="1" ht="16.5" customHeight="1">
      <c r="A24" s="49"/>
      <c r="B24" s="101" t="s">
        <v>211</v>
      </c>
    </row>
    <row r="25" spans="1:2" s="62" customFormat="1" ht="16.5" customHeight="1">
      <c r="A25" s="49">
        <v>15</v>
      </c>
      <c r="B25" s="101" t="s">
        <v>212</v>
      </c>
    </row>
    <row r="26" spans="1:2" s="62" customFormat="1" ht="16.5" customHeight="1">
      <c r="A26" s="49"/>
      <c r="B26" s="101" t="s">
        <v>41</v>
      </c>
    </row>
    <row r="27" spans="1:2" s="62" customFormat="1" ht="16.5" customHeight="1">
      <c r="A27" s="49">
        <v>16</v>
      </c>
      <c r="B27" s="101" t="s">
        <v>673</v>
      </c>
    </row>
    <row r="28" spans="1:2" s="62" customFormat="1" ht="16.5" customHeight="1">
      <c r="A28" s="49"/>
      <c r="B28" s="101" t="s">
        <v>45</v>
      </c>
    </row>
    <row r="29" spans="1:2" s="62" customFormat="1" ht="16.5" customHeight="1">
      <c r="A29" s="49">
        <v>17</v>
      </c>
      <c r="B29" s="101" t="s">
        <v>1132</v>
      </c>
    </row>
    <row r="30" spans="1:2" s="62" customFormat="1" ht="16.5" customHeight="1">
      <c r="A30" s="49">
        <v>18</v>
      </c>
      <c r="B30" s="101" t="s">
        <v>1049</v>
      </c>
    </row>
    <row r="31" spans="1:2" s="62" customFormat="1" ht="16.5" customHeight="1">
      <c r="A31" s="49">
        <v>19</v>
      </c>
      <c r="B31" s="101" t="s">
        <v>916</v>
      </c>
    </row>
    <row r="32" spans="1:2" s="62" customFormat="1" ht="16.5" customHeight="1">
      <c r="A32" s="49"/>
      <c r="B32" s="101" t="s">
        <v>88</v>
      </c>
    </row>
    <row r="33" spans="1:2" s="62" customFormat="1" ht="16.5" customHeight="1">
      <c r="A33" s="49">
        <v>20</v>
      </c>
      <c r="B33" s="101" t="s">
        <v>223</v>
      </c>
    </row>
    <row r="34" spans="1:2" s="62" customFormat="1" ht="68.25" customHeight="1">
      <c r="A34" s="101" t="s">
        <v>1133</v>
      </c>
      <c r="B34" s="237"/>
    </row>
    <row r="35" s="62" customFormat="1" ht="16.5" customHeight="1">
      <c r="B35" s="101" t="s">
        <v>1134</v>
      </c>
    </row>
    <row r="36" s="62" customFormat="1" ht="16.5" customHeight="1">
      <c r="B36" s="101" t="s">
        <v>63</v>
      </c>
    </row>
    <row r="37" spans="1:7" s="62" customFormat="1" ht="63.75" customHeight="1">
      <c r="A37" s="238" t="s">
        <v>1063</v>
      </c>
      <c r="B37" s="239"/>
      <c r="C37" s="90"/>
      <c r="D37" s="90"/>
      <c r="E37" s="90"/>
      <c r="F37" s="90"/>
      <c r="G37" s="90"/>
    </row>
    <row r="38" spans="1:7" s="62" customFormat="1" ht="14.25" customHeight="1">
      <c r="A38" s="106"/>
      <c r="B38" s="353" t="s">
        <v>98</v>
      </c>
      <c r="C38" s="354" t="s">
        <v>741</v>
      </c>
      <c r="D38" s="355" t="s">
        <v>259</v>
      </c>
      <c r="E38" s="243" t="s">
        <v>266</v>
      </c>
      <c r="F38" s="243"/>
      <c r="G38" s="355"/>
    </row>
    <row r="39" spans="1:7" s="62" customFormat="1" ht="14.25" customHeight="1">
      <c r="A39" s="240"/>
      <c r="B39" s="107">
        <v>28528.83</v>
      </c>
      <c r="C39" s="241">
        <v>758454.27</v>
      </c>
      <c r="D39" s="242"/>
      <c r="E39" s="241">
        <v>664911.25</v>
      </c>
      <c r="F39" s="243"/>
      <c r="G39" s="242"/>
    </row>
    <row r="40" spans="1:2" s="62" customFormat="1" ht="14.25" customHeight="1">
      <c r="A40" s="244"/>
      <c r="B40" s="108" t="s">
        <v>372</v>
      </c>
    </row>
    <row r="41" spans="1:2" s="62" customFormat="1" ht="48.75" customHeight="1">
      <c r="A41" s="101" t="s">
        <v>962</v>
      </c>
      <c r="B41" s="237"/>
    </row>
    <row r="42" spans="1:2" s="62" customFormat="1" ht="16.5" customHeight="1">
      <c r="A42" s="58" t="s">
        <v>281</v>
      </c>
      <c r="B42" s="101" t="s">
        <v>446</v>
      </c>
    </row>
    <row r="43" spans="1:2" s="62" customFormat="1" ht="16.5" customHeight="1">
      <c r="A43" s="58"/>
      <c r="B43" s="101" t="s">
        <v>447</v>
      </c>
    </row>
    <row r="44" spans="1:2" s="62" customFormat="1" ht="16.5" customHeight="1">
      <c r="A44" s="58" t="s">
        <v>670</v>
      </c>
      <c r="B44" s="101" t="s">
        <v>914</v>
      </c>
    </row>
    <row r="45" spans="1:2" s="62" customFormat="1" ht="16.5" customHeight="1">
      <c r="A45" s="58"/>
      <c r="B45" s="101" t="s">
        <v>915</v>
      </c>
    </row>
    <row r="46" spans="1:2" s="62" customFormat="1" ht="50.25" customHeight="1">
      <c r="A46" s="101" t="s">
        <v>438</v>
      </c>
      <c r="B46" s="237"/>
    </row>
    <row r="47" spans="1:2" s="62" customFormat="1" ht="16.5" customHeight="1">
      <c r="A47" s="58" t="s">
        <v>439</v>
      </c>
      <c r="B47" s="101" t="s">
        <v>437</v>
      </c>
    </row>
    <row r="48" spans="1:2" s="62" customFormat="1" ht="16.5" customHeight="1">
      <c r="A48" s="58" t="s">
        <v>1143</v>
      </c>
      <c r="B48" s="101" t="s">
        <v>462</v>
      </c>
    </row>
    <row r="49" spans="1:2" s="62" customFormat="1" ht="16.5" customHeight="1">
      <c r="A49" s="58"/>
      <c r="B49" s="101" t="s">
        <v>572</v>
      </c>
    </row>
    <row r="50" spans="1:2" s="62" customFormat="1" ht="16.5" customHeight="1">
      <c r="A50" s="58"/>
      <c r="B50" s="101" t="s">
        <v>458</v>
      </c>
    </row>
    <row r="51" spans="1:2" s="62" customFormat="1" ht="17.25" customHeight="1">
      <c r="A51" s="58"/>
      <c r="B51" s="101" t="s">
        <v>195</v>
      </c>
    </row>
    <row r="52" spans="1:2" s="62" customFormat="1" ht="18">
      <c r="A52" s="58" t="s">
        <v>35</v>
      </c>
      <c r="B52" s="101" t="s">
        <v>34</v>
      </c>
    </row>
    <row r="53" spans="1:2" s="62" customFormat="1" ht="18">
      <c r="A53" s="58" t="s">
        <v>963</v>
      </c>
      <c r="B53" s="101" t="s">
        <v>428</v>
      </c>
    </row>
    <row r="54" spans="1:2" s="62" customFormat="1" ht="15">
      <c r="A54" s="216"/>
      <c r="B54" s="62" t="s">
        <v>429</v>
      </c>
    </row>
    <row r="55" spans="1:13" s="62" customFormat="1" ht="15">
      <c r="A55" s="61" t="s">
        <v>1100</v>
      </c>
      <c r="B55" s="215"/>
      <c r="C55" s="215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="62" customFormat="1" ht="15">
      <c r="B56" s="237"/>
    </row>
    <row r="57" s="62" customFormat="1" ht="15">
      <c r="B57" s="237"/>
    </row>
    <row r="58" s="62" customFormat="1" ht="15">
      <c r="B58" s="237"/>
    </row>
    <row r="59" s="62" customFormat="1" ht="15"/>
    <row r="60" s="62" customFormat="1" ht="15"/>
    <row r="61" s="62" customFormat="1" ht="15"/>
    <row r="62" s="62" customFormat="1" ht="15"/>
    <row r="63" s="62" customFormat="1" ht="15"/>
    <row r="64" s="62" customFormat="1" ht="15"/>
    <row r="65" s="62" customFormat="1" ht="15"/>
    <row r="66" s="62" customFormat="1" ht="15"/>
    <row r="67" s="62" customFormat="1" ht="15"/>
    <row r="68" s="62" customFormat="1" ht="15"/>
    <row r="69" s="62" customFormat="1" ht="15"/>
    <row r="70" s="62" customFormat="1" ht="15"/>
    <row r="71" s="62" customFormat="1" ht="15"/>
    <row r="72" s="62" customFormat="1" ht="15"/>
    <row r="73" s="62" customFormat="1" ht="15"/>
    <row r="74" s="62" customFormat="1" ht="15"/>
    <row r="75" s="62" customFormat="1" ht="15"/>
    <row r="76" s="62" customFormat="1" ht="15"/>
    <row r="77" s="62" customFormat="1" ht="15"/>
    <row r="78" s="62" customFormat="1" ht="15"/>
    <row r="79" s="62" customFormat="1" ht="15"/>
    <row r="80" s="62" customFormat="1" ht="15"/>
    <row r="81" s="62" customFormat="1" ht="15"/>
    <row r="82" s="62" customFormat="1" ht="15"/>
    <row r="83" s="62" customFormat="1" ht="15"/>
    <row r="84" s="62" customFormat="1" ht="15"/>
    <row r="85" s="62" customFormat="1" ht="15"/>
    <row r="86" s="62" customFormat="1" ht="15"/>
    <row r="87" s="62" customFormat="1" ht="15"/>
    <row r="88" s="62" customFormat="1" ht="15"/>
    <row r="89" s="62" customFormat="1" ht="15"/>
    <row r="90" s="62" customFormat="1" ht="15"/>
    <row r="91" s="62" customFormat="1" ht="15"/>
    <row r="92" s="62" customFormat="1" ht="15"/>
    <row r="93" s="62" customFormat="1" ht="15"/>
    <row r="94" s="62" customFormat="1" ht="15"/>
    <row r="95" s="62" customFormat="1" ht="15"/>
    <row r="96" s="62" customFormat="1" ht="15"/>
    <row r="97" s="62" customFormat="1" ht="15"/>
    <row r="98" s="62" customFormat="1" ht="15"/>
    <row r="99" s="62" customFormat="1" ht="15"/>
    <row r="100" s="62" customFormat="1" ht="15"/>
    <row r="101" s="62" customFormat="1" ht="15"/>
    <row r="102" s="62" customFormat="1" ht="15"/>
    <row r="103" s="62" customFormat="1" ht="15"/>
    <row r="104" s="62" customFormat="1" ht="15"/>
    <row r="105" s="62" customFormat="1" ht="15"/>
    <row r="106" s="62" customFormat="1" ht="15"/>
    <row r="107" s="62" customFormat="1" ht="15"/>
    <row r="108" s="62" customFormat="1" ht="15"/>
    <row r="109" s="62" customFormat="1" ht="15"/>
    <row r="110" s="62" customFormat="1" ht="15"/>
    <row r="111" s="62" customFormat="1" ht="15"/>
    <row r="112" s="62" customFormat="1" ht="15"/>
    <row r="113" s="62" customFormat="1" ht="15"/>
    <row r="114" s="62" customFormat="1" ht="15"/>
    <row r="115" s="62" customFormat="1" ht="15"/>
    <row r="116" s="62" customFormat="1" ht="15"/>
    <row r="117" s="62" customFormat="1" ht="15"/>
    <row r="118" s="62" customFormat="1" ht="15"/>
    <row r="119" s="62" customFormat="1" ht="15"/>
    <row r="120" s="62" customFormat="1" ht="15"/>
    <row r="121" s="62" customFormat="1" ht="15"/>
    <row r="122" s="62" customFormat="1" ht="15"/>
    <row r="123" s="62" customFormat="1" ht="15"/>
    <row r="124" s="62" customFormat="1" ht="15"/>
    <row r="125" s="62" customFormat="1" ht="15"/>
    <row r="126" s="62" customFormat="1" ht="15"/>
    <row r="127" s="62" customFormat="1" ht="15"/>
    <row r="128" s="62" customFormat="1" ht="15"/>
    <row r="129" s="62" customFormat="1" ht="15"/>
    <row r="130" s="62" customFormat="1" ht="15"/>
    <row r="131" s="62" customFormat="1" ht="15"/>
    <row r="132" s="62" customFormat="1" ht="15"/>
    <row r="133" s="62" customFormat="1" ht="15"/>
    <row r="134" s="62" customFormat="1" ht="15"/>
    <row r="135" s="62" customFormat="1" ht="15"/>
    <row r="136" s="62" customFormat="1" ht="15"/>
    <row r="137" s="62" customFormat="1" ht="15"/>
    <row r="138" s="62" customFormat="1" ht="15"/>
    <row r="139" s="62" customFormat="1" ht="15"/>
    <row r="140" s="62" customFormat="1" ht="15"/>
    <row r="141" s="62" customFormat="1" ht="15"/>
    <row r="142" s="62" customFormat="1" ht="15"/>
    <row r="143" s="62" customFormat="1" ht="15"/>
    <row r="144" s="62" customFormat="1" ht="15"/>
    <row r="145" s="62" customFormat="1" ht="15"/>
    <row r="146" s="62" customFormat="1" ht="15"/>
    <row r="147" s="62" customFormat="1" ht="15"/>
    <row r="148" s="62" customFormat="1" ht="15"/>
    <row r="149" s="62" customFormat="1" ht="15"/>
    <row r="150" s="62" customFormat="1" ht="15"/>
    <row r="151" s="62" customFormat="1" ht="15"/>
    <row r="152" s="62" customFormat="1" ht="15"/>
    <row r="153" s="62" customFormat="1" ht="15"/>
    <row r="154" s="62" customFormat="1" ht="15"/>
    <row r="155" s="62" customFormat="1" ht="15"/>
    <row r="156" s="62" customFormat="1" ht="15"/>
    <row r="157" s="62" customFormat="1" ht="15"/>
    <row r="158" s="62" customFormat="1" ht="15"/>
    <row r="159" s="62" customFormat="1" ht="15"/>
    <row r="160" s="62" customFormat="1" ht="15"/>
    <row r="161" s="62" customFormat="1" ht="15"/>
    <row r="162" s="62" customFormat="1" ht="15"/>
    <row r="163" s="62" customFormat="1" ht="15"/>
    <row r="164" s="62" customFormat="1" ht="15"/>
    <row r="165" s="62" customFormat="1" ht="15"/>
    <row r="166" s="62" customFormat="1" ht="15"/>
    <row r="167" s="62" customFormat="1" ht="15"/>
    <row r="168" s="62" customFormat="1" ht="15"/>
    <row r="169" s="62" customFormat="1" ht="15"/>
    <row r="170" s="62" customFormat="1" ht="15"/>
    <row r="171" s="62" customFormat="1" ht="15"/>
    <row r="172" s="62" customFormat="1" ht="15"/>
    <row r="173" s="62" customFormat="1" ht="15"/>
    <row r="174" s="62" customFormat="1" ht="15"/>
    <row r="175" s="62" customFormat="1" ht="15"/>
    <row r="176" s="62" customFormat="1" ht="15"/>
    <row r="177" s="62" customFormat="1" ht="15"/>
    <row r="178" s="62" customFormat="1" ht="15"/>
    <row r="179" s="62" customFormat="1" ht="15"/>
    <row r="180" s="62" customFormat="1" ht="15"/>
    <row r="181" s="62" customFormat="1" ht="15"/>
    <row r="182" s="62" customFormat="1" ht="15"/>
    <row r="183" s="62" customFormat="1" ht="15"/>
    <row r="184" s="62" customFormat="1" ht="15"/>
    <row r="185" s="62" customFormat="1" ht="15"/>
    <row r="186" s="62" customFormat="1" ht="15"/>
    <row r="187" s="62" customFormat="1" ht="15"/>
    <row r="188" s="62" customFormat="1" ht="15"/>
    <row r="189" s="62" customFormat="1" ht="15"/>
    <row r="190" s="62" customFormat="1" ht="15"/>
    <row r="191" s="62" customFormat="1" ht="15"/>
    <row r="192" s="62" customFormat="1" ht="15"/>
    <row r="193" s="62" customFormat="1" ht="15"/>
    <row r="194" s="62" customFormat="1" ht="15"/>
    <row r="195" s="62" customFormat="1" ht="15"/>
    <row r="196" s="62" customFormat="1" ht="15"/>
    <row r="197" s="62" customFormat="1" ht="15"/>
    <row r="198" s="62" customFormat="1" ht="15"/>
    <row r="199" s="62" customFormat="1" ht="15"/>
    <row r="200" s="62" customFormat="1" ht="15"/>
    <row r="201" s="62" customFormat="1" ht="15"/>
    <row r="202" s="62" customFormat="1" ht="15"/>
    <row r="203" s="62" customFormat="1" ht="15"/>
    <row r="204" s="62" customFormat="1" ht="15"/>
    <row r="205" s="62" customFormat="1" ht="15"/>
    <row r="206" s="62" customFormat="1" ht="15"/>
    <row r="207" s="62" customFormat="1" ht="15"/>
    <row r="208" s="62" customFormat="1" ht="15"/>
    <row r="209" s="62" customFormat="1" ht="15"/>
    <row r="210" s="62" customFormat="1" ht="15"/>
    <row r="211" s="62" customFormat="1" ht="15"/>
    <row r="212" s="62" customFormat="1" ht="15"/>
    <row r="213" s="62" customFormat="1" ht="15"/>
    <row r="214" s="62" customFormat="1" ht="15"/>
    <row r="215" s="62" customFormat="1" ht="15"/>
    <row r="216" s="62" customFormat="1" ht="15"/>
    <row r="217" s="62" customFormat="1" ht="15"/>
    <row r="218" s="62" customFormat="1" ht="15"/>
    <row r="219" s="62" customFormat="1" ht="15"/>
    <row r="220" s="62" customFormat="1" ht="15"/>
    <row r="221" s="62" customFormat="1" ht="15"/>
    <row r="222" s="62" customFormat="1" ht="15"/>
    <row r="223" s="62" customFormat="1" ht="15"/>
    <row r="224" s="62" customFormat="1" ht="15"/>
    <row r="225" s="62" customFormat="1" ht="15"/>
    <row r="226" s="62" customFormat="1" ht="15"/>
    <row r="227" s="62" customFormat="1" ht="15"/>
    <row r="228" s="62" customFormat="1" ht="15"/>
    <row r="229" s="62" customFormat="1" ht="15"/>
    <row r="230" s="62" customFormat="1" ht="15"/>
    <row r="231" s="62" customFormat="1" ht="15"/>
    <row r="232" s="62" customFormat="1" ht="15"/>
    <row r="233" s="62" customFormat="1" ht="15"/>
    <row r="234" s="62" customFormat="1" ht="15"/>
    <row r="235" s="62" customFormat="1" ht="15"/>
    <row r="236" s="62" customFormat="1" ht="15"/>
    <row r="237" s="62" customFormat="1" ht="15"/>
    <row r="238" s="62" customFormat="1" ht="15"/>
    <row r="239" s="62" customFormat="1" ht="15"/>
    <row r="240" s="62" customFormat="1" ht="15"/>
    <row r="241" s="62" customFormat="1" ht="15"/>
    <row r="242" s="62" customFormat="1" ht="15"/>
    <row r="243" s="62" customFormat="1" ht="15"/>
    <row r="244" s="62" customFormat="1" ht="15"/>
    <row r="245" s="62" customFormat="1" ht="15"/>
    <row r="246" s="62" customFormat="1" ht="15"/>
    <row r="247" s="62" customFormat="1" ht="15"/>
    <row r="248" s="62" customFormat="1" ht="15"/>
    <row r="249" s="62" customFormat="1" ht="15"/>
    <row r="250" s="62" customFormat="1" ht="15"/>
    <row r="251" s="62" customFormat="1" ht="15"/>
    <row r="252" s="62" customFormat="1" ht="15"/>
    <row r="253" s="62" customFormat="1" ht="15"/>
    <row r="254" s="62" customFormat="1" ht="15"/>
    <row r="255" s="62" customFormat="1" ht="15"/>
    <row r="256" s="62" customFormat="1" ht="15"/>
    <row r="257" s="62" customFormat="1" ht="15"/>
    <row r="258" s="62" customFormat="1" ht="15"/>
    <row r="259" s="62" customFormat="1" ht="15"/>
    <row r="260" s="62" customFormat="1" ht="15"/>
    <row r="261" s="62" customFormat="1" ht="15"/>
    <row r="262" s="62" customFormat="1" ht="15"/>
    <row r="263" s="62" customFormat="1" ht="15"/>
    <row r="264" s="62" customFormat="1" ht="15"/>
    <row r="265" s="62" customFormat="1" ht="15"/>
    <row r="266" s="62" customFormat="1" ht="15"/>
    <row r="267" s="62" customFormat="1" ht="15"/>
    <row r="268" s="62" customFormat="1" ht="15"/>
    <row r="269" s="62" customFormat="1" ht="15"/>
    <row r="270" s="62" customFormat="1" ht="15"/>
    <row r="271" s="62" customFormat="1" ht="15"/>
    <row r="272" s="62" customFormat="1" ht="15"/>
    <row r="273" s="62" customFormat="1" ht="15"/>
    <row r="274" s="62" customFormat="1" ht="15"/>
    <row r="275" s="62" customFormat="1" ht="15"/>
    <row r="276" s="62" customFormat="1" ht="15"/>
    <row r="277" s="62" customFormat="1" ht="15"/>
    <row r="278" s="62" customFormat="1" ht="15"/>
    <row r="279" s="62" customFormat="1" ht="15"/>
    <row r="280" s="62" customFormat="1" ht="15"/>
    <row r="281" s="62" customFormat="1" ht="15"/>
    <row r="282" s="62" customFormat="1" ht="15"/>
    <row r="283" s="62" customFormat="1" ht="15"/>
    <row r="284" s="62" customFormat="1" ht="15"/>
    <row r="285" s="62" customFormat="1" ht="15"/>
    <row r="286" s="62" customFormat="1" ht="15"/>
    <row r="287" s="62" customFormat="1" ht="15"/>
    <row r="288" s="62" customFormat="1" ht="15"/>
    <row r="289" s="62" customFormat="1" ht="15"/>
    <row r="290" s="62" customFormat="1" ht="15"/>
    <row r="291" s="62" customFormat="1" ht="15"/>
    <row r="292" s="62" customFormat="1" ht="15"/>
    <row r="293" s="62" customFormat="1" ht="15"/>
    <row r="294" s="62" customFormat="1" ht="15"/>
    <row r="295" s="62" customFormat="1" ht="15"/>
    <row r="296" s="62" customFormat="1" ht="15"/>
    <row r="297" s="62" customFormat="1" ht="15"/>
    <row r="298" s="62" customFormat="1" ht="15"/>
    <row r="299" s="62" customFormat="1" ht="15"/>
    <row r="300" s="62" customFormat="1" ht="15"/>
    <row r="301" s="62" customFormat="1" ht="15"/>
    <row r="302" s="62" customFormat="1" ht="15"/>
    <row r="303" s="62" customFormat="1" ht="15"/>
    <row r="304" s="62" customFormat="1" ht="15"/>
    <row r="305" s="62" customFormat="1" ht="15"/>
    <row r="306" s="62" customFormat="1" ht="15"/>
    <row r="307" s="62" customFormat="1" ht="15"/>
    <row r="308" s="62" customFormat="1" ht="15"/>
    <row r="309" s="62" customFormat="1" ht="15"/>
    <row r="310" s="62" customFormat="1" ht="15"/>
    <row r="311" s="62" customFormat="1" ht="15"/>
    <row r="312" s="62" customFormat="1" ht="15"/>
    <row r="313" s="62" customFormat="1" ht="15"/>
    <row r="314" s="62" customFormat="1" ht="15"/>
    <row r="315" s="62" customFormat="1" ht="15"/>
    <row r="316" s="62" customFormat="1" ht="15"/>
    <row r="317" s="62" customFormat="1" ht="15"/>
    <row r="318" s="62" customFormat="1" ht="15"/>
    <row r="319" s="62" customFormat="1" ht="15"/>
    <row r="320" s="62" customFormat="1" ht="15"/>
    <row r="321" s="62" customFormat="1" ht="15"/>
    <row r="322" s="62" customFormat="1" ht="15"/>
    <row r="323" s="62" customFormat="1" ht="15"/>
    <row r="324" s="62" customFormat="1" ht="15"/>
    <row r="325" s="62" customFormat="1" ht="15"/>
    <row r="326" s="62" customFormat="1" ht="15"/>
    <row r="327" s="62" customFormat="1" ht="15"/>
    <row r="328" s="62" customFormat="1" ht="15"/>
    <row r="329" s="62" customFormat="1" ht="15"/>
    <row r="330" s="62" customFormat="1" ht="15"/>
    <row r="331" s="62" customFormat="1" ht="15"/>
    <row r="332" s="62" customFormat="1" ht="15"/>
    <row r="333" s="62" customFormat="1" ht="15"/>
    <row r="334" s="62" customFormat="1" ht="15"/>
    <row r="335" s="62" customFormat="1" ht="15"/>
    <row r="336" s="62" customFormat="1" ht="15"/>
    <row r="337" s="62" customFormat="1" ht="15"/>
    <row r="338" s="62" customFormat="1" ht="15"/>
    <row r="339" s="62" customFormat="1" ht="15"/>
    <row r="340" s="62" customFormat="1" ht="15"/>
    <row r="341" s="62" customFormat="1" ht="15"/>
    <row r="342" s="62" customFormat="1" ht="15"/>
    <row r="343" s="62" customFormat="1" ht="15"/>
    <row r="344" s="62" customFormat="1" ht="15"/>
    <row r="345" s="62" customFormat="1" ht="15"/>
    <row r="346" s="62" customFormat="1" ht="15"/>
    <row r="347" s="62" customFormat="1" ht="15"/>
    <row r="348" s="62" customFormat="1" ht="15"/>
    <row r="349" s="62" customFormat="1" ht="15"/>
    <row r="350" s="62" customFormat="1" ht="15"/>
    <row r="351" s="62" customFormat="1" ht="15"/>
    <row r="352" s="62" customFormat="1" ht="15"/>
    <row r="353" s="62" customFormat="1" ht="15"/>
    <row r="354" s="62" customFormat="1" ht="15"/>
    <row r="355" s="62" customFormat="1" ht="15"/>
    <row r="356" s="62" customFormat="1" ht="15"/>
    <row r="357" s="62" customFormat="1" ht="15"/>
    <row r="358" s="62" customFormat="1" ht="15"/>
    <row r="359" s="62" customFormat="1" ht="15"/>
    <row r="360" s="62" customFormat="1" ht="15"/>
    <row r="361" s="62" customFormat="1" ht="15"/>
    <row r="362" s="62" customFormat="1" ht="15"/>
    <row r="363" s="62" customFormat="1" ht="15"/>
    <row r="364" s="62" customFormat="1" ht="15"/>
    <row r="365" s="62" customFormat="1" ht="15"/>
    <row r="366" s="62" customFormat="1" ht="15"/>
    <row r="367" s="62" customFormat="1" ht="15"/>
    <row r="368" s="62" customFormat="1" ht="15"/>
    <row r="369" s="62" customFormat="1" ht="15"/>
    <row r="370" s="62" customFormat="1" ht="15"/>
    <row r="371" s="62" customFormat="1" ht="15"/>
    <row r="372" s="62" customFormat="1" ht="15"/>
    <row r="373" s="62" customFormat="1" ht="15"/>
    <row r="374" s="62" customFormat="1" ht="15"/>
    <row r="375" s="62" customFormat="1" ht="15"/>
    <row r="376" s="62" customFormat="1" ht="15"/>
    <row r="377" s="62" customFormat="1" ht="15"/>
    <row r="378" s="62" customFormat="1" ht="15"/>
    <row r="379" s="62" customFormat="1" ht="15"/>
    <row r="380" s="62" customFormat="1" ht="15"/>
    <row r="381" s="62" customFormat="1" ht="15"/>
    <row r="382" s="62" customFormat="1" ht="15"/>
    <row r="383" s="62" customFormat="1" ht="15"/>
    <row r="384" s="62" customFormat="1" ht="15"/>
    <row r="385" s="62" customFormat="1" ht="15"/>
    <row r="386" s="62" customFormat="1" ht="15"/>
    <row r="387" s="62" customFormat="1" ht="15"/>
    <row r="388" s="62" customFormat="1" ht="15"/>
    <row r="389" s="62" customFormat="1" ht="15"/>
    <row r="390" s="62" customFormat="1" ht="15"/>
    <row r="391" s="62" customFormat="1" ht="15"/>
    <row r="392" s="62" customFormat="1" ht="15"/>
    <row r="393" s="62" customFormat="1" ht="15"/>
    <row r="394" s="62" customFormat="1" ht="15"/>
    <row r="395" s="62" customFormat="1" ht="15"/>
    <row r="396" s="62" customFormat="1" ht="15"/>
    <row r="397" s="62" customFormat="1" ht="15"/>
    <row r="398" s="62" customFormat="1" ht="15"/>
    <row r="399" s="62" customFormat="1" ht="15"/>
    <row r="400" s="62" customFormat="1" ht="15"/>
    <row r="401" s="62" customFormat="1" ht="15"/>
    <row r="402" s="62" customFormat="1" ht="15"/>
    <row r="403" s="62" customFormat="1" ht="15"/>
    <row r="404" s="62" customFormat="1" ht="15"/>
    <row r="405" s="62" customFormat="1" ht="15"/>
    <row r="406" s="62" customFormat="1" ht="15"/>
    <row r="407" s="62" customFormat="1" ht="15"/>
    <row r="408" s="62" customFormat="1" ht="15"/>
    <row r="409" s="62" customFormat="1" ht="15"/>
    <row r="410" s="62" customFormat="1" ht="15"/>
    <row r="411" s="62" customFormat="1" ht="15"/>
    <row r="412" s="62" customFormat="1" ht="15"/>
    <row r="413" s="62" customFormat="1" ht="15"/>
    <row r="414" s="62" customFormat="1" ht="15"/>
    <row r="415" s="62" customFormat="1" ht="15"/>
    <row r="416" s="62" customFormat="1" ht="15"/>
    <row r="417" s="62" customFormat="1" ht="15"/>
    <row r="418" s="62" customFormat="1" ht="15"/>
    <row r="419" s="62" customFormat="1" ht="15"/>
    <row r="420" s="62" customFormat="1" ht="15"/>
    <row r="421" s="62" customFormat="1" ht="15"/>
    <row r="422" s="62" customFormat="1" ht="15"/>
    <row r="423" s="62" customFormat="1" ht="15"/>
    <row r="424" s="62" customFormat="1" ht="15"/>
    <row r="425" s="62" customFormat="1" ht="15"/>
    <row r="426" s="62" customFormat="1" ht="15"/>
    <row r="427" s="62" customFormat="1" ht="15"/>
    <row r="428" s="62" customFormat="1" ht="15"/>
    <row r="429" s="62" customFormat="1" ht="15"/>
    <row r="430" s="62" customFormat="1" ht="15"/>
    <row r="431" s="62" customFormat="1" ht="15"/>
    <row r="432" s="62" customFormat="1" ht="15"/>
    <row r="433" s="62" customFormat="1" ht="15"/>
    <row r="434" s="62" customFormat="1" ht="15"/>
    <row r="435" s="62" customFormat="1" ht="15"/>
    <row r="436" s="62" customFormat="1" ht="15"/>
    <row r="437" s="62" customFormat="1" ht="15"/>
    <row r="438" s="62" customFormat="1" ht="15"/>
    <row r="439" s="62" customFormat="1" ht="15"/>
    <row r="440" s="62" customFormat="1" ht="15"/>
    <row r="441" s="62" customFormat="1" ht="15"/>
    <row r="442" s="62" customFormat="1" ht="15"/>
    <row r="443" s="62" customFormat="1" ht="15"/>
    <row r="444" s="62" customFormat="1" ht="15"/>
    <row r="445" s="62" customFormat="1" ht="15"/>
    <row r="446" s="62" customFormat="1" ht="15"/>
    <row r="447" s="62" customFormat="1" ht="15"/>
    <row r="448" s="62" customFormat="1" ht="15"/>
    <row r="449" s="62" customFormat="1" ht="15"/>
    <row r="450" s="62" customFormat="1" ht="15"/>
    <row r="451" s="62" customFormat="1" ht="15"/>
    <row r="452" s="62" customFormat="1" ht="15"/>
    <row r="453" s="62" customFormat="1" ht="15"/>
    <row r="454" s="62" customFormat="1" ht="15"/>
    <row r="455" s="62" customFormat="1" ht="15"/>
    <row r="456" s="62" customFormat="1" ht="15"/>
    <row r="457" s="62" customFormat="1" ht="15"/>
    <row r="458" s="62" customFormat="1" ht="15"/>
    <row r="459" s="62" customFormat="1" ht="15"/>
    <row r="460" s="62" customFormat="1" ht="15"/>
    <row r="461" s="62" customFormat="1" ht="15"/>
    <row r="462" s="62" customFormat="1" ht="15"/>
    <row r="463" s="62" customFormat="1" ht="15"/>
    <row r="464" s="62" customFormat="1" ht="15"/>
    <row r="465" s="62" customFormat="1" ht="15"/>
    <row r="466" s="62" customFormat="1" ht="15"/>
    <row r="467" s="62" customFormat="1" ht="15"/>
    <row r="468" s="62" customFormat="1" ht="15"/>
    <row r="469" s="62" customFormat="1" ht="15"/>
    <row r="470" s="62" customFormat="1" ht="15"/>
    <row r="471" s="62" customFormat="1" ht="15"/>
    <row r="472" s="62" customFormat="1" ht="15"/>
    <row r="473" s="62" customFormat="1" ht="15"/>
    <row r="474" s="62" customFormat="1" ht="15"/>
    <row r="475" s="62" customFormat="1" ht="15"/>
    <row r="476" s="62" customFormat="1" ht="15"/>
    <row r="477" s="62" customFormat="1" ht="15"/>
    <row r="478" s="62" customFormat="1" ht="15"/>
    <row r="479" s="62" customFormat="1" ht="15"/>
    <row r="480" s="62" customFormat="1" ht="15"/>
    <row r="481" s="62" customFormat="1" ht="15"/>
    <row r="482" s="62" customFormat="1" ht="15"/>
    <row r="483" s="62" customFormat="1" ht="15"/>
    <row r="484" s="62" customFormat="1" ht="15"/>
    <row r="485" s="62" customFormat="1" ht="15"/>
    <row r="486" s="62" customFormat="1" ht="15"/>
    <row r="487" s="62" customFormat="1" ht="15"/>
    <row r="488" s="62" customFormat="1" ht="15"/>
    <row r="489" s="62" customFormat="1" ht="15"/>
    <row r="490" s="62" customFormat="1" ht="15"/>
    <row r="491" s="62" customFormat="1" ht="15"/>
    <row r="492" s="62" customFormat="1" ht="15"/>
    <row r="493" s="62" customFormat="1" ht="15"/>
    <row r="494" s="62" customFormat="1" ht="15"/>
    <row r="495" s="62" customFormat="1" ht="15"/>
    <row r="496" s="62" customFormat="1" ht="15"/>
    <row r="497" s="62" customFormat="1" ht="15"/>
    <row r="498" s="62" customFormat="1" ht="15"/>
    <row r="499" s="62" customFormat="1" ht="15"/>
    <row r="500" s="62" customFormat="1" ht="15"/>
    <row r="501" s="62" customFormat="1" ht="15"/>
    <row r="502" s="62" customFormat="1" ht="15"/>
    <row r="503" s="62" customFormat="1" ht="15"/>
    <row r="504" s="62" customFormat="1" ht="15"/>
    <row r="505" s="62" customFormat="1" ht="15"/>
    <row r="506" s="62" customFormat="1" ht="15"/>
    <row r="507" s="62" customFormat="1" ht="15"/>
    <row r="508" s="62" customFormat="1" ht="15"/>
    <row r="509" s="62" customFormat="1" ht="15"/>
    <row r="510" s="62" customFormat="1" ht="15"/>
    <row r="511" s="62" customFormat="1" ht="15"/>
    <row r="512" s="62" customFormat="1" ht="15"/>
    <row r="513" s="62" customFormat="1" ht="15"/>
    <row r="514" s="62" customFormat="1" ht="15"/>
    <row r="515" s="62" customFormat="1" ht="15"/>
    <row r="516" s="62" customFormat="1" ht="15"/>
    <row r="517" s="62" customFormat="1" ht="15"/>
    <row r="518" s="62" customFormat="1" ht="15"/>
    <row r="519" s="62" customFormat="1" ht="15"/>
    <row r="520" s="62" customFormat="1" ht="15"/>
    <row r="521" s="62" customFormat="1" ht="15"/>
    <row r="522" s="62" customFormat="1" ht="15"/>
    <row r="523" s="62" customFormat="1" ht="15"/>
    <row r="524" s="62" customFormat="1" ht="15"/>
    <row r="525" s="62" customFormat="1" ht="15"/>
    <row r="526" s="62" customFormat="1" ht="15"/>
    <row r="527" s="62" customFormat="1" ht="15"/>
    <row r="528" s="62" customFormat="1" ht="15"/>
    <row r="529" s="62" customFormat="1" ht="15"/>
    <row r="530" s="62" customFormat="1" ht="15"/>
    <row r="531" s="62" customFormat="1" ht="15"/>
    <row r="532" s="62" customFormat="1" ht="15"/>
    <row r="533" s="62" customFormat="1" ht="15"/>
    <row r="534" s="62" customFormat="1" ht="15"/>
    <row r="535" s="62" customFormat="1" ht="15"/>
    <row r="536" s="62" customFormat="1" ht="15"/>
    <row r="537" s="62" customFormat="1" ht="15"/>
    <row r="538" s="62" customFormat="1" ht="15"/>
    <row r="539" s="62" customFormat="1" ht="15"/>
    <row r="540" s="62" customFormat="1" ht="15"/>
    <row r="541" s="62" customFormat="1" ht="15"/>
    <row r="542" s="62" customFormat="1" ht="15"/>
    <row r="543" s="62" customFormat="1" ht="15"/>
    <row r="544" s="62" customFormat="1" ht="15"/>
    <row r="545" s="62" customFormat="1" ht="15"/>
    <row r="546" s="62" customFormat="1" ht="15"/>
    <row r="547" s="62" customFormat="1" ht="15"/>
    <row r="548" s="62" customFormat="1" ht="15"/>
    <row r="549" s="62" customFormat="1" ht="15"/>
    <row r="550" s="62" customFormat="1" ht="15"/>
    <row r="551" s="62" customFormat="1" ht="15"/>
    <row r="552" s="62" customFormat="1" ht="15"/>
    <row r="553" s="62" customFormat="1" ht="15"/>
    <row r="554" s="62" customFormat="1" ht="15"/>
    <row r="555" s="62" customFormat="1" ht="15"/>
    <row r="556" s="62" customFormat="1" ht="15"/>
    <row r="557" s="62" customFormat="1" ht="15"/>
    <row r="558" s="62" customFormat="1" ht="15"/>
    <row r="559" s="62" customFormat="1" ht="15"/>
    <row r="560" s="62" customFormat="1" ht="15"/>
    <row r="561" s="62" customFormat="1" ht="15"/>
    <row r="562" s="62" customFormat="1" ht="15"/>
    <row r="563" s="62" customFormat="1" ht="15"/>
    <row r="564" s="62" customFormat="1" ht="15"/>
    <row r="565" s="62" customFormat="1" ht="15"/>
    <row r="566" s="62" customFormat="1" ht="15"/>
    <row r="567" s="62" customFormat="1" ht="15"/>
    <row r="568" s="62" customFormat="1" ht="15"/>
    <row r="569" s="62" customFormat="1" ht="15"/>
    <row r="570" s="62" customFormat="1" ht="15"/>
    <row r="571" s="62" customFormat="1" ht="15"/>
    <row r="572" s="62" customFormat="1" ht="15"/>
    <row r="573" s="62" customFormat="1" ht="15"/>
    <row r="574" s="62" customFormat="1" ht="15"/>
    <row r="575" s="62" customFormat="1" ht="15"/>
    <row r="576" s="62" customFormat="1" ht="15"/>
    <row r="577" s="62" customFormat="1" ht="15"/>
    <row r="578" s="62" customFormat="1" ht="15"/>
    <row r="579" s="62" customFormat="1" ht="15"/>
    <row r="580" s="62" customFormat="1" ht="15"/>
    <row r="581" s="62" customFormat="1" ht="15"/>
    <row r="582" s="62" customFormat="1" ht="15"/>
    <row r="583" s="62" customFormat="1" ht="15"/>
    <row r="584" s="62" customFormat="1" ht="15"/>
    <row r="585" s="62" customFormat="1" ht="15"/>
    <row r="586" s="62" customFormat="1" ht="15"/>
    <row r="587" s="62" customFormat="1" ht="15"/>
    <row r="588" s="62" customFormat="1" ht="15"/>
    <row r="589" s="62" customFormat="1" ht="15"/>
    <row r="590" s="62" customFormat="1" ht="15"/>
    <row r="591" s="62" customFormat="1" ht="15"/>
    <row r="592" s="62" customFormat="1" ht="15"/>
    <row r="593" s="62" customFormat="1" ht="15"/>
    <row r="594" s="62" customFormat="1" ht="15"/>
    <row r="595" s="62" customFormat="1" ht="15"/>
    <row r="596" s="62" customFormat="1" ht="15"/>
    <row r="597" s="62" customFormat="1" ht="15"/>
    <row r="598" s="62" customFormat="1" ht="15"/>
    <row r="599" s="62" customFormat="1" ht="15"/>
    <row r="600" s="62" customFormat="1" ht="15"/>
    <row r="601" s="62" customFormat="1" ht="15"/>
    <row r="602" s="62" customFormat="1" ht="15"/>
    <row r="603" s="62" customFormat="1" ht="15"/>
    <row r="604" s="62" customFormat="1" ht="15"/>
    <row r="605" s="62" customFormat="1" ht="15"/>
    <row r="606" s="62" customFormat="1" ht="15"/>
    <row r="607" s="62" customFormat="1" ht="15"/>
    <row r="608" s="62" customFormat="1" ht="15"/>
    <row r="609" s="62" customFormat="1" ht="15"/>
    <row r="610" s="62" customFormat="1" ht="15"/>
    <row r="611" s="62" customFormat="1" ht="15"/>
    <row r="612" s="62" customFormat="1" ht="15"/>
    <row r="613" s="62" customFormat="1" ht="15"/>
    <row r="614" s="62" customFormat="1" ht="15"/>
    <row r="615" s="62" customFormat="1" ht="15"/>
    <row r="616" s="62" customFormat="1" ht="15"/>
    <row r="617" s="62" customFormat="1" ht="15"/>
    <row r="618" s="62" customFormat="1" ht="15"/>
    <row r="619" s="62" customFormat="1" ht="15"/>
    <row r="620" s="62" customFormat="1" ht="15"/>
    <row r="621" s="62" customFormat="1" ht="15"/>
    <row r="622" s="62" customFormat="1" ht="15"/>
    <row r="623" s="62" customFormat="1" ht="15"/>
    <row r="624" s="62" customFormat="1" ht="15"/>
    <row r="625" s="62" customFormat="1" ht="15"/>
    <row r="626" s="62" customFormat="1" ht="15"/>
    <row r="627" s="62" customFormat="1" ht="15"/>
    <row r="628" s="62" customFormat="1" ht="15"/>
    <row r="629" s="62" customFormat="1" ht="15"/>
    <row r="630" s="62" customFormat="1" ht="15"/>
    <row r="631" s="62" customFormat="1" ht="15"/>
    <row r="632" s="62" customFormat="1" ht="15"/>
    <row r="633" s="62" customFormat="1" ht="15"/>
    <row r="634" s="62" customFormat="1" ht="15"/>
    <row r="635" s="62" customFormat="1" ht="15"/>
    <row r="636" s="62" customFormat="1" ht="15"/>
    <row r="637" s="62" customFormat="1" ht="15"/>
    <row r="638" s="62" customFormat="1" ht="15"/>
    <row r="639" s="62" customFormat="1" ht="15"/>
    <row r="640" s="62" customFormat="1" ht="15"/>
    <row r="641" s="62" customFormat="1" ht="15"/>
    <row r="642" s="62" customFormat="1" ht="15"/>
    <row r="643" s="62" customFormat="1" ht="15"/>
    <row r="644" s="62" customFormat="1" ht="15"/>
    <row r="645" s="62" customFormat="1" ht="15"/>
    <row r="646" s="62" customFormat="1" ht="15"/>
    <row r="647" s="62" customFormat="1" ht="15"/>
    <row r="648" s="62" customFormat="1" ht="15"/>
    <row r="649" s="62" customFormat="1" ht="15"/>
    <row r="650" s="62" customFormat="1" ht="15"/>
    <row r="651" s="62" customFormat="1" ht="15"/>
    <row r="652" s="62" customFormat="1" ht="15"/>
    <row r="653" s="62" customFormat="1" ht="15"/>
    <row r="654" s="62" customFormat="1" ht="15"/>
    <row r="655" s="62" customFormat="1" ht="15"/>
    <row r="656" s="62" customFormat="1" ht="15"/>
    <row r="657" s="62" customFormat="1" ht="15"/>
    <row r="658" s="62" customFormat="1" ht="15"/>
    <row r="659" s="62" customFormat="1" ht="15"/>
    <row r="660" s="62" customFormat="1" ht="15"/>
    <row r="661" s="62" customFormat="1" ht="15"/>
    <row r="662" s="62" customFormat="1" ht="15"/>
    <row r="663" s="62" customFormat="1" ht="15"/>
    <row r="664" s="62" customFormat="1" ht="15"/>
    <row r="665" s="62" customFormat="1" ht="15"/>
    <row r="666" s="62" customFormat="1" ht="15"/>
    <row r="667" s="62" customFormat="1" ht="15"/>
    <row r="668" s="62" customFormat="1" ht="15"/>
    <row r="669" s="62" customFormat="1" ht="15"/>
    <row r="670" s="62" customFormat="1" ht="15"/>
    <row r="671" s="62" customFormat="1" ht="15"/>
    <row r="672" s="62" customFormat="1" ht="15"/>
    <row r="673" s="62" customFormat="1" ht="15"/>
    <row r="674" s="62" customFormat="1" ht="15"/>
    <row r="675" s="62" customFormat="1" ht="15"/>
    <row r="676" s="62" customFormat="1" ht="15"/>
    <row r="677" s="62" customFormat="1" ht="15"/>
    <row r="678" s="62" customFormat="1" ht="15"/>
    <row r="679" s="62" customFormat="1" ht="15"/>
    <row r="680" s="62" customFormat="1" ht="15"/>
    <row r="681" s="62" customFormat="1" ht="15"/>
    <row r="682" s="62" customFormat="1" ht="15"/>
    <row r="683" s="62" customFormat="1" ht="15"/>
    <row r="684" s="62" customFormat="1" ht="15"/>
    <row r="685" s="62" customFormat="1" ht="15"/>
    <row r="686" s="62" customFormat="1" ht="15"/>
    <row r="687" s="62" customFormat="1" ht="15"/>
    <row r="688" s="62" customFormat="1" ht="15"/>
    <row r="689" s="62" customFormat="1" ht="15"/>
    <row r="690" s="62" customFormat="1" ht="15"/>
    <row r="691" s="62" customFormat="1" ht="15"/>
    <row r="692" s="62" customFormat="1" ht="15"/>
    <row r="693" s="62" customFormat="1" ht="15"/>
    <row r="694" s="62" customFormat="1" ht="15"/>
    <row r="695" s="62" customFormat="1" ht="15"/>
    <row r="696" s="62" customFormat="1" ht="15"/>
    <row r="697" s="62" customFormat="1" ht="15"/>
    <row r="698" s="62" customFormat="1" ht="15"/>
    <row r="699" s="62" customFormat="1" ht="15"/>
    <row r="700" s="62" customFormat="1" ht="15"/>
    <row r="701" s="62" customFormat="1" ht="15"/>
    <row r="702" s="62" customFormat="1" ht="15"/>
    <row r="703" s="62" customFormat="1" ht="15"/>
    <row r="704" s="62" customFormat="1" ht="15"/>
    <row r="705" s="62" customFormat="1" ht="15"/>
    <row r="706" s="62" customFormat="1" ht="15"/>
    <row r="707" s="62" customFormat="1" ht="15"/>
    <row r="708" s="62" customFormat="1" ht="15"/>
    <row r="709" s="62" customFormat="1" ht="15"/>
    <row r="710" s="62" customFormat="1" ht="15"/>
    <row r="711" s="62" customFormat="1" ht="15"/>
    <row r="712" s="62" customFormat="1" ht="15"/>
    <row r="713" s="62" customFormat="1" ht="15"/>
    <row r="714" s="62" customFormat="1" ht="15"/>
    <row r="715" s="62" customFormat="1" ht="15"/>
    <row r="716" s="62" customFormat="1" ht="15"/>
    <row r="717" s="62" customFormat="1" ht="15"/>
    <row r="718" s="62" customFormat="1" ht="15"/>
    <row r="719" s="62" customFormat="1" ht="15"/>
    <row r="720" s="62" customFormat="1" ht="15"/>
    <row r="721" s="62" customFormat="1" ht="15"/>
  </sheetData>
  <printOptions/>
  <pageMargins left="0.75" right="0.75" top="1" bottom="1" header="0.5" footer="0.5"/>
  <pageSetup horizontalDpi="600" verticalDpi="600" orientation="portrait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E170"/>
  <sheetViews>
    <sheetView view="pageBreakPreview" zoomScale="75" zoomScaleNormal="72" zoomScaleSheetLayoutView="75" workbookViewId="0" topLeftCell="A149">
      <selection activeCell="E172" sqref="E172"/>
    </sheetView>
  </sheetViews>
  <sheetFormatPr defaultColWidth="8.88671875" defaultRowHeight="15"/>
  <cols>
    <col min="1" max="1" width="51.88671875" style="0" customWidth="1"/>
    <col min="2" max="2" width="13.77734375" style="0" customWidth="1"/>
    <col min="3" max="3" width="17.99609375" style="0" customWidth="1"/>
    <col min="4" max="4" width="12.4453125" style="0" bestFit="1" customWidth="1"/>
    <col min="5" max="5" width="20.6640625" style="0" customWidth="1"/>
  </cols>
  <sheetData>
    <row r="1" ht="15">
      <c r="A1" s="309" t="s">
        <v>54</v>
      </c>
    </row>
    <row r="2" spans="1:5" ht="15">
      <c r="A2" s="309" t="s">
        <v>411</v>
      </c>
      <c r="B2" t="s">
        <v>412</v>
      </c>
      <c r="C2">
        <v>392833816.6</v>
      </c>
      <c r="D2">
        <v>1386000</v>
      </c>
      <c r="E2">
        <v>391447816.6</v>
      </c>
    </row>
    <row r="3" spans="1:5" ht="15">
      <c r="A3" s="309" t="s">
        <v>413</v>
      </c>
      <c r="B3" t="s">
        <v>414</v>
      </c>
      <c r="C3">
        <v>114900.55</v>
      </c>
      <c r="D3">
        <v>0</v>
      </c>
      <c r="E3">
        <v>114900.55</v>
      </c>
    </row>
    <row r="4" spans="1:5" ht="15">
      <c r="A4" s="309" t="s">
        <v>55</v>
      </c>
      <c r="B4" t="s">
        <v>590</v>
      </c>
      <c r="C4">
        <v>1756266914.1</v>
      </c>
      <c r="D4">
        <v>0</v>
      </c>
      <c r="E4">
        <v>1756266914.1</v>
      </c>
    </row>
    <row r="5" spans="1:5" ht="15">
      <c r="A5" s="309" t="s">
        <v>415</v>
      </c>
      <c r="B5" t="s">
        <v>416</v>
      </c>
      <c r="C5">
        <v>1649000</v>
      </c>
      <c r="D5">
        <v>0</v>
      </c>
      <c r="E5">
        <v>1649000</v>
      </c>
    </row>
    <row r="6" spans="1:5" ht="15">
      <c r="A6" s="309" t="s">
        <v>435</v>
      </c>
      <c r="B6" t="s">
        <v>46</v>
      </c>
      <c r="C6">
        <v>5175000</v>
      </c>
      <c r="D6">
        <v>4448000</v>
      </c>
      <c r="E6">
        <v>727000</v>
      </c>
    </row>
    <row r="7" spans="1:5" ht="15">
      <c r="A7" s="309" t="s">
        <v>47</v>
      </c>
      <c r="B7" t="s">
        <v>48</v>
      </c>
      <c r="C7">
        <v>126000</v>
      </c>
      <c r="D7">
        <v>0</v>
      </c>
      <c r="E7">
        <v>126000</v>
      </c>
    </row>
    <row r="8" spans="1:5" ht="15">
      <c r="A8" s="309" t="s">
        <v>607</v>
      </c>
      <c r="B8" t="s">
        <v>608</v>
      </c>
      <c r="C8">
        <v>28407720.51</v>
      </c>
      <c r="D8">
        <v>0</v>
      </c>
      <c r="E8">
        <v>28407720.51</v>
      </c>
    </row>
    <row r="9" spans="1:5" ht="15">
      <c r="A9" s="309" t="s">
        <v>99</v>
      </c>
      <c r="B9" t="s">
        <v>100</v>
      </c>
      <c r="C9">
        <v>653000</v>
      </c>
      <c r="D9">
        <v>0</v>
      </c>
      <c r="E9">
        <v>653000</v>
      </c>
    </row>
    <row r="10" spans="1:5" ht="15">
      <c r="A10" s="309" t="s">
        <v>609</v>
      </c>
      <c r="B10" t="s">
        <v>610</v>
      </c>
      <c r="C10">
        <v>36660000</v>
      </c>
      <c r="D10">
        <v>0</v>
      </c>
      <c r="E10">
        <v>36660000</v>
      </c>
    </row>
    <row r="11" spans="1:5" ht="15">
      <c r="A11" s="309" t="s">
        <v>116</v>
      </c>
      <c r="B11" t="s">
        <v>117</v>
      </c>
      <c r="C11">
        <v>28657000</v>
      </c>
      <c r="D11">
        <v>1302000</v>
      </c>
      <c r="E11">
        <v>27355000</v>
      </c>
    </row>
    <row r="12" spans="1:5" ht="15">
      <c r="A12" s="309" t="s">
        <v>242</v>
      </c>
      <c r="B12" t="s">
        <v>243</v>
      </c>
      <c r="C12">
        <v>271441000</v>
      </c>
      <c r="D12">
        <v>0</v>
      </c>
      <c r="E12">
        <v>271441000</v>
      </c>
    </row>
    <row r="13" spans="1:5" ht="15">
      <c r="A13" s="309" t="s">
        <v>244</v>
      </c>
      <c r="B13" t="s">
        <v>205</v>
      </c>
      <c r="C13">
        <v>706550000</v>
      </c>
      <c r="D13">
        <v>0</v>
      </c>
      <c r="E13">
        <v>706550000</v>
      </c>
    </row>
    <row r="14" spans="1:5" ht="15">
      <c r="A14" s="309" t="s">
        <v>386</v>
      </c>
      <c r="B14" t="s">
        <v>387</v>
      </c>
      <c r="C14">
        <v>1000000</v>
      </c>
      <c r="D14">
        <v>0</v>
      </c>
      <c r="E14">
        <v>1000000</v>
      </c>
    </row>
    <row r="15" spans="1:5" ht="15">
      <c r="A15" s="309" t="s">
        <v>388</v>
      </c>
      <c r="B15" t="s">
        <v>389</v>
      </c>
      <c r="C15">
        <v>685710000</v>
      </c>
      <c r="D15">
        <v>0</v>
      </c>
      <c r="E15">
        <v>685710000</v>
      </c>
    </row>
    <row r="16" spans="1:5" ht="15">
      <c r="A16" s="309" t="s">
        <v>390</v>
      </c>
      <c r="B16" t="s">
        <v>391</v>
      </c>
      <c r="C16">
        <v>61957045000</v>
      </c>
      <c r="D16">
        <v>0</v>
      </c>
      <c r="E16">
        <v>61957045000</v>
      </c>
    </row>
    <row r="17" spans="1:5" ht="15">
      <c r="A17" s="309" t="s">
        <v>392</v>
      </c>
      <c r="B17" t="s">
        <v>393</v>
      </c>
      <c r="C17">
        <v>23244336.82</v>
      </c>
      <c r="D17">
        <v>0</v>
      </c>
      <c r="E17">
        <v>23244336.82</v>
      </c>
    </row>
    <row r="18" spans="1:5" ht="15">
      <c r="A18" s="309" t="s">
        <v>394</v>
      </c>
      <c r="B18" t="s">
        <v>395</v>
      </c>
      <c r="C18">
        <v>4031000</v>
      </c>
      <c r="D18">
        <v>0</v>
      </c>
      <c r="E18">
        <v>4031000</v>
      </c>
    </row>
    <row r="19" spans="1:5" ht="15">
      <c r="A19" s="309" t="s">
        <v>101</v>
      </c>
      <c r="B19" t="s">
        <v>102</v>
      </c>
      <c r="C19">
        <v>76334000</v>
      </c>
      <c r="D19">
        <v>0</v>
      </c>
      <c r="E19">
        <v>76334000</v>
      </c>
    </row>
    <row r="20" spans="1:5" ht="15">
      <c r="A20" s="309" t="s">
        <v>174</v>
      </c>
      <c r="B20" t="s">
        <v>175</v>
      </c>
      <c r="C20">
        <v>381686515.49</v>
      </c>
      <c r="D20">
        <v>0</v>
      </c>
      <c r="E20">
        <v>381686515.49</v>
      </c>
    </row>
    <row r="21" spans="1:5" ht="15">
      <c r="A21" s="309" t="s">
        <v>385</v>
      </c>
      <c r="B21" t="s">
        <v>724</v>
      </c>
      <c r="C21">
        <v>1618000</v>
      </c>
      <c r="D21">
        <v>0</v>
      </c>
      <c r="E21">
        <v>1618000</v>
      </c>
    </row>
    <row r="22" ht="15">
      <c r="A22" s="309" t="s">
        <v>56</v>
      </c>
    </row>
    <row r="23" spans="1:5" ht="15">
      <c r="A23" s="309" t="s">
        <v>704</v>
      </c>
      <c r="B23" t="s">
        <v>705</v>
      </c>
      <c r="C23">
        <v>2083738450.97</v>
      </c>
      <c r="D23">
        <v>0</v>
      </c>
      <c r="E23">
        <v>2083738450.97</v>
      </c>
    </row>
    <row r="24" spans="1:5" ht="15">
      <c r="A24" s="309" t="s">
        <v>706</v>
      </c>
      <c r="B24" t="s">
        <v>707</v>
      </c>
      <c r="C24">
        <v>13371664000</v>
      </c>
      <c r="D24">
        <v>1380839000</v>
      </c>
      <c r="E24">
        <v>11990825000</v>
      </c>
    </row>
    <row r="25" spans="1:5" ht="15">
      <c r="A25" s="309" t="s">
        <v>708</v>
      </c>
      <c r="B25" t="s">
        <v>709</v>
      </c>
      <c r="C25">
        <v>1111000</v>
      </c>
      <c r="D25">
        <v>0</v>
      </c>
      <c r="E25">
        <v>1111000</v>
      </c>
    </row>
    <row r="26" spans="1:5" ht="15">
      <c r="A26" s="309" t="s">
        <v>710</v>
      </c>
      <c r="B26" t="s">
        <v>711</v>
      </c>
      <c r="C26">
        <v>1349017000</v>
      </c>
      <c r="D26">
        <v>0</v>
      </c>
      <c r="E26">
        <v>1349017000</v>
      </c>
    </row>
    <row r="27" spans="1:5" ht="15">
      <c r="A27" s="309" t="s">
        <v>712</v>
      </c>
      <c r="B27" t="s">
        <v>731</v>
      </c>
      <c r="C27">
        <v>116554196.2</v>
      </c>
      <c r="D27">
        <v>0</v>
      </c>
      <c r="E27">
        <v>116554196.2</v>
      </c>
    </row>
    <row r="28" spans="1:5" ht="15">
      <c r="A28" s="309" t="s">
        <v>766</v>
      </c>
      <c r="B28" t="s">
        <v>767</v>
      </c>
      <c r="C28">
        <v>440917000</v>
      </c>
      <c r="D28">
        <v>0</v>
      </c>
      <c r="E28">
        <v>440917000</v>
      </c>
    </row>
    <row r="29" spans="1:5" ht="15">
      <c r="A29" s="309" t="s">
        <v>550</v>
      </c>
      <c r="B29" t="s">
        <v>551</v>
      </c>
      <c r="C29">
        <v>472791000</v>
      </c>
      <c r="D29">
        <v>0</v>
      </c>
      <c r="E29">
        <v>472791000</v>
      </c>
    </row>
    <row r="30" spans="1:5" ht="15">
      <c r="A30" s="309" t="s">
        <v>552</v>
      </c>
      <c r="B30" t="s">
        <v>553</v>
      </c>
      <c r="C30">
        <v>489388000</v>
      </c>
      <c r="D30">
        <v>0</v>
      </c>
      <c r="E30">
        <v>489388000</v>
      </c>
    </row>
    <row r="31" spans="1:5" ht="15">
      <c r="A31" s="309" t="s">
        <v>554</v>
      </c>
      <c r="B31" t="s">
        <v>555</v>
      </c>
      <c r="C31">
        <v>33794386350</v>
      </c>
      <c r="D31">
        <v>1480000000</v>
      </c>
      <c r="E31">
        <v>32314386350</v>
      </c>
    </row>
    <row r="32" spans="1:5" ht="15">
      <c r="A32" s="309" t="s">
        <v>556</v>
      </c>
      <c r="B32" t="s">
        <v>557</v>
      </c>
      <c r="C32">
        <v>759000</v>
      </c>
      <c r="D32">
        <v>0</v>
      </c>
      <c r="E32">
        <v>759000</v>
      </c>
    </row>
    <row r="33" spans="1:5" ht="15">
      <c r="A33" s="309" t="s">
        <v>460</v>
      </c>
      <c r="B33" t="s">
        <v>558</v>
      </c>
      <c r="C33">
        <v>1810000</v>
      </c>
      <c r="D33">
        <v>0</v>
      </c>
      <c r="E33">
        <v>1810000</v>
      </c>
    </row>
    <row r="34" spans="1:5" ht="15">
      <c r="A34" s="309" t="s">
        <v>628</v>
      </c>
      <c r="B34" t="s">
        <v>629</v>
      </c>
      <c r="C34">
        <v>19000</v>
      </c>
      <c r="D34">
        <v>0</v>
      </c>
      <c r="E34">
        <v>19000</v>
      </c>
    </row>
    <row r="35" spans="1:5" ht="15">
      <c r="A35" s="309" t="s">
        <v>57</v>
      </c>
      <c r="B35" t="s">
        <v>58</v>
      </c>
      <c r="C35">
        <v>7566398.37</v>
      </c>
      <c r="D35">
        <v>0</v>
      </c>
      <c r="E35">
        <v>7566398.37</v>
      </c>
    </row>
    <row r="36" spans="1:5" ht="15">
      <c r="A36" s="309" t="s">
        <v>271</v>
      </c>
      <c r="B36" t="s">
        <v>272</v>
      </c>
      <c r="C36">
        <v>62679000</v>
      </c>
      <c r="D36">
        <v>13455000</v>
      </c>
      <c r="E36">
        <v>49224000</v>
      </c>
    </row>
    <row r="37" spans="1:5" ht="15">
      <c r="A37" s="309" t="s">
        <v>519</v>
      </c>
      <c r="B37" t="s">
        <v>520</v>
      </c>
      <c r="C37">
        <v>28242721.78</v>
      </c>
      <c r="D37">
        <v>1295.79</v>
      </c>
      <c r="E37">
        <v>28241425.99</v>
      </c>
    </row>
    <row r="38" spans="1:5" ht="15">
      <c r="A38" s="309" t="s">
        <v>521</v>
      </c>
      <c r="B38" t="s">
        <v>522</v>
      </c>
      <c r="C38">
        <v>2032000</v>
      </c>
      <c r="D38">
        <v>0</v>
      </c>
      <c r="E38">
        <v>2032000</v>
      </c>
    </row>
    <row r="39" spans="1:5" ht="15">
      <c r="A39" s="309" t="s">
        <v>523</v>
      </c>
      <c r="B39" t="s">
        <v>524</v>
      </c>
      <c r="C39">
        <v>737857437736.75</v>
      </c>
      <c r="D39">
        <v>111590465651.44</v>
      </c>
      <c r="E39">
        <v>626266972085.31</v>
      </c>
    </row>
    <row r="40" spans="1:5" ht="15">
      <c r="A40" s="309" t="s">
        <v>525</v>
      </c>
      <c r="B40" t="s">
        <v>526</v>
      </c>
      <c r="C40">
        <v>13024000</v>
      </c>
      <c r="D40">
        <v>0</v>
      </c>
      <c r="E40">
        <v>13024000</v>
      </c>
    </row>
    <row r="41" spans="1:5" ht="15">
      <c r="A41" s="309" t="s">
        <v>461</v>
      </c>
      <c r="B41" t="s">
        <v>527</v>
      </c>
      <c r="C41">
        <v>1270000</v>
      </c>
      <c r="D41">
        <v>0</v>
      </c>
      <c r="E41">
        <v>1270000</v>
      </c>
    </row>
    <row r="42" spans="1:5" ht="15">
      <c r="A42" s="309" t="s">
        <v>528</v>
      </c>
      <c r="B42" t="s">
        <v>529</v>
      </c>
      <c r="C42">
        <v>7500000</v>
      </c>
      <c r="D42">
        <v>0</v>
      </c>
      <c r="E42">
        <v>7500000</v>
      </c>
    </row>
    <row r="43" spans="1:5" ht="15">
      <c r="A43" s="309" t="s">
        <v>674</v>
      </c>
      <c r="B43" t="s">
        <v>675</v>
      </c>
      <c r="C43">
        <v>4005000</v>
      </c>
      <c r="D43">
        <v>0</v>
      </c>
      <c r="E43">
        <v>4005000</v>
      </c>
    </row>
    <row r="44" spans="1:5" ht="15">
      <c r="A44" s="309" t="s">
        <v>530</v>
      </c>
      <c r="B44" t="s">
        <v>103</v>
      </c>
      <c r="C44">
        <v>7608000</v>
      </c>
      <c r="D44">
        <v>0</v>
      </c>
      <c r="E44">
        <v>7608000</v>
      </c>
    </row>
    <row r="45" spans="1:5" ht="15">
      <c r="A45" s="309" t="s">
        <v>531</v>
      </c>
      <c r="B45" t="s">
        <v>532</v>
      </c>
      <c r="C45">
        <v>10098000</v>
      </c>
      <c r="D45">
        <v>0</v>
      </c>
      <c r="E45">
        <v>10098000</v>
      </c>
    </row>
    <row r="46" spans="1:5" ht="15">
      <c r="A46" s="309" t="s">
        <v>1095</v>
      </c>
      <c r="B46" t="s">
        <v>1096</v>
      </c>
      <c r="C46">
        <v>5757242.4</v>
      </c>
      <c r="D46">
        <v>0</v>
      </c>
      <c r="E46">
        <v>5757242.4</v>
      </c>
    </row>
    <row r="47" spans="1:5" ht="15">
      <c r="A47" s="309" t="s">
        <v>533</v>
      </c>
      <c r="B47" t="s">
        <v>534</v>
      </c>
      <c r="C47">
        <v>989790972.66</v>
      </c>
      <c r="D47">
        <v>0</v>
      </c>
      <c r="E47">
        <v>989790972.66</v>
      </c>
    </row>
    <row r="48" spans="1:5" ht="15">
      <c r="A48" s="309" t="s">
        <v>535</v>
      </c>
      <c r="B48" t="s">
        <v>536</v>
      </c>
      <c r="C48">
        <v>51300583643.12</v>
      </c>
      <c r="D48">
        <v>0</v>
      </c>
      <c r="E48">
        <v>51300583643.12</v>
      </c>
    </row>
    <row r="49" spans="1:5" ht="15">
      <c r="A49" s="309" t="s">
        <v>537</v>
      </c>
      <c r="B49" t="s">
        <v>538</v>
      </c>
      <c r="C49">
        <v>183757262597.34</v>
      </c>
      <c r="D49">
        <v>4822715000</v>
      </c>
      <c r="E49">
        <v>178934547597.34</v>
      </c>
    </row>
    <row r="50" spans="1:5" ht="15">
      <c r="A50" s="309" t="s">
        <v>1027</v>
      </c>
      <c r="B50" t="s">
        <v>1028</v>
      </c>
      <c r="C50">
        <v>710000</v>
      </c>
      <c r="D50">
        <v>0</v>
      </c>
      <c r="E50">
        <v>710000</v>
      </c>
    </row>
    <row r="51" spans="1:5" ht="15">
      <c r="A51" s="309" t="s">
        <v>1029</v>
      </c>
      <c r="B51" t="s">
        <v>1030</v>
      </c>
      <c r="C51">
        <v>3441000</v>
      </c>
      <c r="D51">
        <v>0</v>
      </c>
      <c r="E51">
        <v>3441000</v>
      </c>
    </row>
    <row r="52" spans="1:5" ht="15">
      <c r="A52" s="309" t="s">
        <v>1031</v>
      </c>
      <c r="B52" t="s">
        <v>1032</v>
      </c>
      <c r="C52">
        <v>2435000</v>
      </c>
      <c r="D52">
        <v>0</v>
      </c>
      <c r="E52">
        <v>2435000</v>
      </c>
    </row>
    <row r="53" spans="1:5" ht="15">
      <c r="A53" s="309" t="s">
        <v>695</v>
      </c>
      <c r="B53" t="s">
        <v>1033</v>
      </c>
      <c r="C53">
        <v>97949368.44</v>
      </c>
      <c r="D53">
        <v>0</v>
      </c>
      <c r="E53">
        <v>97949368.44</v>
      </c>
    </row>
    <row r="54" spans="1:5" ht="15">
      <c r="A54" s="309" t="s">
        <v>1108</v>
      </c>
      <c r="B54" t="s">
        <v>1109</v>
      </c>
      <c r="C54">
        <v>3394480149.75</v>
      </c>
      <c r="D54">
        <v>0</v>
      </c>
      <c r="E54">
        <v>3394480149.75</v>
      </c>
    </row>
    <row r="55" spans="1:5" ht="15">
      <c r="A55" s="309" t="s">
        <v>540</v>
      </c>
      <c r="B55" t="s">
        <v>541</v>
      </c>
      <c r="C55">
        <v>7497000</v>
      </c>
      <c r="D55">
        <v>0</v>
      </c>
      <c r="E55">
        <v>7497000</v>
      </c>
    </row>
    <row r="56" spans="1:5" ht="15">
      <c r="A56" s="309" t="s">
        <v>542</v>
      </c>
      <c r="B56" t="s">
        <v>543</v>
      </c>
      <c r="C56">
        <v>13397432000</v>
      </c>
      <c r="D56">
        <v>954000000</v>
      </c>
      <c r="E56">
        <v>12443432000</v>
      </c>
    </row>
    <row r="57" spans="1:5" ht="15">
      <c r="A57" s="309" t="s">
        <v>544</v>
      </c>
      <c r="B57" t="s">
        <v>545</v>
      </c>
      <c r="C57">
        <v>29174449000</v>
      </c>
      <c r="D57">
        <v>0</v>
      </c>
      <c r="E57">
        <v>29174449000</v>
      </c>
    </row>
    <row r="58" spans="1:5" ht="15">
      <c r="A58" s="309" t="s">
        <v>546</v>
      </c>
      <c r="B58" t="s">
        <v>547</v>
      </c>
      <c r="C58">
        <v>571000</v>
      </c>
      <c r="D58">
        <v>0</v>
      </c>
      <c r="E58">
        <v>571000</v>
      </c>
    </row>
    <row r="59" spans="1:5" ht="15">
      <c r="A59" s="309" t="s">
        <v>684</v>
      </c>
      <c r="B59" t="s">
        <v>685</v>
      </c>
      <c r="C59">
        <v>502000</v>
      </c>
      <c r="D59">
        <v>0</v>
      </c>
      <c r="E59">
        <v>502000</v>
      </c>
    </row>
    <row r="60" spans="1:5" ht="15">
      <c r="A60" s="309" t="s">
        <v>75</v>
      </c>
      <c r="B60" t="s">
        <v>76</v>
      </c>
      <c r="C60">
        <v>994172000</v>
      </c>
      <c r="D60">
        <v>0</v>
      </c>
      <c r="E60">
        <v>994172000</v>
      </c>
    </row>
    <row r="61" spans="1:5" ht="15">
      <c r="A61" s="309" t="s">
        <v>314</v>
      </c>
      <c r="B61" t="s">
        <v>315</v>
      </c>
      <c r="C61">
        <v>310000</v>
      </c>
      <c r="D61">
        <v>0</v>
      </c>
      <c r="E61">
        <v>310000</v>
      </c>
    </row>
    <row r="62" spans="1:5" ht="15">
      <c r="A62" s="309" t="s">
        <v>127</v>
      </c>
      <c r="B62" t="s">
        <v>128</v>
      </c>
      <c r="C62">
        <v>12135131499.28</v>
      </c>
      <c r="D62">
        <v>0</v>
      </c>
      <c r="E62">
        <v>12135131499.28</v>
      </c>
    </row>
    <row r="63" spans="1:5" ht="15">
      <c r="A63" s="309" t="s">
        <v>129</v>
      </c>
      <c r="B63" t="s">
        <v>946</v>
      </c>
      <c r="C63">
        <v>134224000</v>
      </c>
      <c r="D63">
        <v>12669000</v>
      </c>
      <c r="E63">
        <v>121555000</v>
      </c>
    </row>
    <row r="64" spans="1:5" ht="15">
      <c r="A64" s="309" t="s">
        <v>176</v>
      </c>
      <c r="B64" t="s">
        <v>177</v>
      </c>
      <c r="C64">
        <v>4060566</v>
      </c>
      <c r="D64">
        <v>0</v>
      </c>
      <c r="E64">
        <v>4060566</v>
      </c>
    </row>
    <row r="65" spans="1:5" ht="15">
      <c r="A65" s="309" t="s">
        <v>302</v>
      </c>
      <c r="B65" t="s">
        <v>303</v>
      </c>
      <c r="C65">
        <v>1915357000</v>
      </c>
      <c r="D65">
        <v>0</v>
      </c>
      <c r="E65">
        <v>1915357000</v>
      </c>
    </row>
    <row r="66" spans="1:5" ht="15">
      <c r="A66" s="309" t="s">
        <v>304</v>
      </c>
      <c r="B66" t="s">
        <v>305</v>
      </c>
      <c r="C66">
        <v>473421000</v>
      </c>
      <c r="D66">
        <v>0</v>
      </c>
      <c r="E66">
        <v>473421000</v>
      </c>
    </row>
    <row r="67" spans="1:5" ht="15">
      <c r="A67" s="309" t="s">
        <v>306</v>
      </c>
      <c r="B67" t="s">
        <v>307</v>
      </c>
      <c r="C67">
        <v>197859329000</v>
      </c>
      <c r="D67">
        <v>4615266000</v>
      </c>
      <c r="E67">
        <v>193244063000</v>
      </c>
    </row>
    <row r="68" spans="1:5" ht="15">
      <c r="A68" s="309" t="s">
        <v>308</v>
      </c>
      <c r="B68" t="s">
        <v>309</v>
      </c>
      <c r="C68">
        <v>296803319000</v>
      </c>
      <c r="D68">
        <v>16867551000</v>
      </c>
      <c r="E68">
        <v>279935768000</v>
      </c>
    </row>
    <row r="69" spans="1:5" ht="15">
      <c r="A69" s="309" t="s">
        <v>591</v>
      </c>
      <c r="B69" t="s">
        <v>592</v>
      </c>
      <c r="C69">
        <v>35835000</v>
      </c>
      <c r="D69">
        <v>0</v>
      </c>
      <c r="E69">
        <v>35835000</v>
      </c>
    </row>
    <row r="70" spans="1:5" ht="15">
      <c r="A70" s="309" t="s">
        <v>310</v>
      </c>
      <c r="B70" t="s">
        <v>311</v>
      </c>
      <c r="C70">
        <v>4367000</v>
      </c>
      <c r="D70">
        <v>0</v>
      </c>
      <c r="E70">
        <v>4367000</v>
      </c>
    </row>
    <row r="71" spans="1:5" ht="15">
      <c r="A71" s="309" t="s">
        <v>593</v>
      </c>
      <c r="B71" t="s">
        <v>594</v>
      </c>
      <c r="C71">
        <v>80000</v>
      </c>
      <c r="D71">
        <v>0</v>
      </c>
      <c r="E71">
        <v>80000</v>
      </c>
    </row>
    <row r="72" spans="1:5" ht="15">
      <c r="A72" s="309" t="s">
        <v>567</v>
      </c>
      <c r="B72" t="s">
        <v>312</v>
      </c>
      <c r="C72">
        <v>23069893000</v>
      </c>
      <c r="D72">
        <v>237891000</v>
      </c>
      <c r="E72">
        <v>22832002000</v>
      </c>
    </row>
    <row r="73" spans="1:5" ht="15">
      <c r="A73" s="309" t="s">
        <v>135</v>
      </c>
      <c r="B73" t="s">
        <v>136</v>
      </c>
      <c r="C73">
        <v>1620860249000</v>
      </c>
      <c r="D73">
        <v>16147512000</v>
      </c>
      <c r="E73">
        <v>1604712737000</v>
      </c>
    </row>
    <row r="74" spans="1:5" ht="15">
      <c r="A74" s="309" t="s">
        <v>137</v>
      </c>
      <c r="B74" t="s">
        <v>138</v>
      </c>
      <c r="C74">
        <v>41193434000</v>
      </c>
      <c r="D74">
        <v>15426488000</v>
      </c>
      <c r="E74">
        <v>25766946000</v>
      </c>
    </row>
    <row r="75" spans="1:5" ht="15">
      <c r="A75" s="309" t="s">
        <v>104</v>
      </c>
      <c r="B75" t="s">
        <v>105</v>
      </c>
      <c r="C75">
        <v>905000</v>
      </c>
      <c r="D75">
        <v>0</v>
      </c>
      <c r="E75">
        <v>905000</v>
      </c>
    </row>
    <row r="76" spans="1:5" ht="15">
      <c r="A76" s="309" t="s">
        <v>106</v>
      </c>
      <c r="B76" t="s">
        <v>107</v>
      </c>
      <c r="C76">
        <v>1509000</v>
      </c>
      <c r="D76">
        <v>0</v>
      </c>
      <c r="E76">
        <v>1509000</v>
      </c>
    </row>
    <row r="77" spans="1:5" ht="15">
      <c r="A77" s="309" t="s">
        <v>139</v>
      </c>
      <c r="B77" t="s">
        <v>140</v>
      </c>
      <c r="C77">
        <v>13403664000</v>
      </c>
      <c r="D77">
        <v>19253000</v>
      </c>
      <c r="E77">
        <v>13384411000</v>
      </c>
    </row>
    <row r="78" spans="1:5" ht="15">
      <c r="A78" s="309" t="s">
        <v>141</v>
      </c>
      <c r="B78" t="s">
        <v>142</v>
      </c>
      <c r="C78">
        <v>3090768000</v>
      </c>
      <c r="D78">
        <v>0</v>
      </c>
      <c r="E78">
        <v>3090768000</v>
      </c>
    </row>
    <row r="79" spans="1:5" ht="15">
      <c r="A79" s="309" t="s">
        <v>713</v>
      </c>
      <c r="B79" t="s">
        <v>714</v>
      </c>
      <c r="C79">
        <v>64445000</v>
      </c>
      <c r="D79">
        <v>0</v>
      </c>
      <c r="E79">
        <v>64445000</v>
      </c>
    </row>
    <row r="80" spans="1:5" ht="15">
      <c r="A80" s="309" t="s">
        <v>715</v>
      </c>
      <c r="B80" t="s">
        <v>168</v>
      </c>
      <c r="C80">
        <v>4625000</v>
      </c>
      <c r="D80">
        <v>0</v>
      </c>
      <c r="E80">
        <v>4625000</v>
      </c>
    </row>
    <row r="81" spans="1:5" ht="15">
      <c r="A81" s="309" t="s">
        <v>169</v>
      </c>
      <c r="B81" t="s">
        <v>170</v>
      </c>
      <c r="C81">
        <v>1000</v>
      </c>
      <c r="D81">
        <v>0</v>
      </c>
      <c r="E81">
        <v>1000</v>
      </c>
    </row>
    <row r="82" spans="1:5" ht="15">
      <c r="A82" s="309" t="s">
        <v>752</v>
      </c>
      <c r="B82" t="s">
        <v>753</v>
      </c>
      <c r="C82">
        <v>831217.76</v>
      </c>
      <c r="D82">
        <v>0</v>
      </c>
      <c r="E82">
        <v>831217.76</v>
      </c>
    </row>
    <row r="83" spans="1:5" ht="15">
      <c r="A83" s="309" t="s">
        <v>745</v>
      </c>
      <c r="B83" t="s">
        <v>746</v>
      </c>
      <c r="C83">
        <v>1297000</v>
      </c>
      <c r="D83">
        <v>0</v>
      </c>
      <c r="E83">
        <v>1297000</v>
      </c>
    </row>
    <row r="84" spans="1:5" ht="15">
      <c r="A84" s="309" t="s">
        <v>747</v>
      </c>
      <c r="B84" t="s">
        <v>748</v>
      </c>
      <c r="C84">
        <v>7901103000</v>
      </c>
      <c r="D84">
        <v>0</v>
      </c>
      <c r="E84">
        <v>7901103000</v>
      </c>
    </row>
    <row r="85" spans="1:5" ht="15">
      <c r="A85" s="309" t="s">
        <v>749</v>
      </c>
      <c r="B85" t="s">
        <v>750</v>
      </c>
      <c r="C85">
        <v>2547239000</v>
      </c>
      <c r="D85">
        <v>0</v>
      </c>
      <c r="E85">
        <v>2547239000</v>
      </c>
    </row>
    <row r="86" spans="1:5" ht="15">
      <c r="A86" s="309" t="s">
        <v>904</v>
      </c>
      <c r="B86" t="s">
        <v>905</v>
      </c>
      <c r="C86">
        <v>54759000</v>
      </c>
      <c r="D86">
        <v>0</v>
      </c>
      <c r="E86">
        <v>54759000</v>
      </c>
    </row>
    <row r="87" spans="1:5" ht="15">
      <c r="A87" s="309" t="s">
        <v>568</v>
      </c>
      <c r="B87" t="s">
        <v>906</v>
      </c>
      <c r="C87">
        <v>2290233000</v>
      </c>
      <c r="D87">
        <v>0</v>
      </c>
      <c r="E87">
        <v>2290233000</v>
      </c>
    </row>
    <row r="88" spans="1:5" ht="15">
      <c r="A88" s="309" t="s">
        <v>907</v>
      </c>
      <c r="B88" t="s">
        <v>908</v>
      </c>
      <c r="C88">
        <v>14236734000</v>
      </c>
      <c r="D88">
        <v>3658187000</v>
      </c>
      <c r="E88">
        <v>10578547000</v>
      </c>
    </row>
    <row r="89" spans="1:5" ht="15">
      <c r="A89" s="309" t="s">
        <v>59</v>
      </c>
      <c r="B89" t="s">
        <v>60</v>
      </c>
      <c r="C89">
        <v>16675686.85</v>
      </c>
      <c r="D89">
        <v>0</v>
      </c>
      <c r="E89">
        <v>16675686.85</v>
      </c>
    </row>
    <row r="90" spans="1:5" ht="15">
      <c r="A90" s="309" t="s">
        <v>909</v>
      </c>
      <c r="B90" t="s">
        <v>910</v>
      </c>
      <c r="C90">
        <v>341961000</v>
      </c>
      <c r="D90">
        <v>0</v>
      </c>
      <c r="E90">
        <v>341961000</v>
      </c>
    </row>
    <row r="91" spans="1:5" ht="15">
      <c r="A91" s="309" t="s">
        <v>20</v>
      </c>
      <c r="B91" t="s">
        <v>21</v>
      </c>
      <c r="C91">
        <v>12201000</v>
      </c>
      <c r="D91">
        <v>0</v>
      </c>
      <c r="E91">
        <v>12201000</v>
      </c>
    </row>
    <row r="92" spans="1:5" ht="15">
      <c r="A92" s="309" t="s">
        <v>548</v>
      </c>
      <c r="B92" t="s">
        <v>549</v>
      </c>
      <c r="C92">
        <v>144000</v>
      </c>
      <c r="D92">
        <v>0</v>
      </c>
      <c r="E92">
        <v>144000</v>
      </c>
    </row>
    <row r="93" spans="1:5" ht="15">
      <c r="A93" s="309" t="s">
        <v>722</v>
      </c>
      <c r="B93" t="s">
        <v>723</v>
      </c>
      <c r="C93">
        <v>5019000</v>
      </c>
      <c r="D93">
        <v>0</v>
      </c>
      <c r="E93">
        <v>5019000</v>
      </c>
    </row>
    <row r="94" spans="1:5" ht="15">
      <c r="A94" s="309" t="s">
        <v>442</v>
      </c>
      <c r="B94" t="s">
        <v>443</v>
      </c>
      <c r="C94">
        <v>37267000</v>
      </c>
      <c r="D94">
        <v>0</v>
      </c>
      <c r="E94">
        <v>37267000</v>
      </c>
    </row>
    <row r="95" spans="1:5" ht="15">
      <c r="A95" s="309" t="s">
        <v>580</v>
      </c>
      <c r="B95" t="s">
        <v>581</v>
      </c>
      <c r="C95">
        <v>39185000</v>
      </c>
      <c r="D95">
        <v>176000</v>
      </c>
      <c r="E95">
        <v>39009000</v>
      </c>
    </row>
    <row r="96" spans="1:5" ht="15">
      <c r="A96" s="309" t="s">
        <v>582</v>
      </c>
      <c r="B96" t="s">
        <v>583</v>
      </c>
      <c r="C96">
        <v>11409000</v>
      </c>
      <c r="D96">
        <v>355000</v>
      </c>
      <c r="E96">
        <v>11054000</v>
      </c>
    </row>
    <row r="97" spans="1:5" ht="15">
      <c r="A97" s="309" t="s">
        <v>768</v>
      </c>
      <c r="B97" t="s">
        <v>769</v>
      </c>
      <c r="C97">
        <v>201022000</v>
      </c>
      <c r="D97">
        <v>0</v>
      </c>
      <c r="E97">
        <v>201022000</v>
      </c>
    </row>
    <row r="98" spans="1:5" ht="15">
      <c r="A98" s="309" t="s">
        <v>770</v>
      </c>
      <c r="B98" t="s">
        <v>771</v>
      </c>
      <c r="C98">
        <v>455200000</v>
      </c>
      <c r="D98">
        <v>0</v>
      </c>
      <c r="E98">
        <v>455200000</v>
      </c>
    </row>
    <row r="99" spans="1:5" ht="15">
      <c r="A99" s="309" t="s">
        <v>772</v>
      </c>
      <c r="B99" t="s">
        <v>773</v>
      </c>
      <c r="C99">
        <v>7492000</v>
      </c>
      <c r="D99">
        <v>90000</v>
      </c>
      <c r="E99">
        <v>7402000</v>
      </c>
    </row>
    <row r="100" spans="1:5" ht="15">
      <c r="A100" s="309" t="s">
        <v>774</v>
      </c>
      <c r="B100" t="s">
        <v>775</v>
      </c>
      <c r="C100">
        <v>5226000</v>
      </c>
      <c r="D100">
        <v>0</v>
      </c>
      <c r="E100">
        <v>5226000</v>
      </c>
    </row>
    <row r="101" spans="1:5" ht="15">
      <c r="A101" s="309" t="s">
        <v>776</v>
      </c>
      <c r="B101" t="s">
        <v>777</v>
      </c>
      <c r="C101">
        <v>2414287000</v>
      </c>
      <c r="D101">
        <v>0</v>
      </c>
      <c r="E101">
        <v>2414287000</v>
      </c>
    </row>
    <row r="102" spans="1:5" ht="15">
      <c r="A102" s="309" t="s">
        <v>778</v>
      </c>
      <c r="B102" t="s">
        <v>779</v>
      </c>
      <c r="C102">
        <v>6770000</v>
      </c>
      <c r="D102">
        <v>0</v>
      </c>
      <c r="E102">
        <v>6770000</v>
      </c>
    </row>
    <row r="103" spans="1:5" ht="15">
      <c r="A103" s="309" t="s">
        <v>780</v>
      </c>
      <c r="B103" t="s">
        <v>781</v>
      </c>
      <c r="C103">
        <v>36270000</v>
      </c>
      <c r="D103">
        <v>0</v>
      </c>
      <c r="E103">
        <v>36270000</v>
      </c>
    </row>
    <row r="104" spans="1:5" ht="15">
      <c r="A104" s="309" t="s">
        <v>782</v>
      </c>
      <c r="B104" t="s">
        <v>783</v>
      </c>
      <c r="C104">
        <v>11634000</v>
      </c>
      <c r="D104">
        <v>0</v>
      </c>
      <c r="E104">
        <v>11634000</v>
      </c>
    </row>
    <row r="105" spans="1:5" ht="15">
      <c r="A105" s="309" t="s">
        <v>559</v>
      </c>
      <c r="B105" t="s">
        <v>560</v>
      </c>
      <c r="C105">
        <v>9928458.19</v>
      </c>
      <c r="D105">
        <v>455.28</v>
      </c>
      <c r="E105">
        <v>9928002.91</v>
      </c>
    </row>
    <row r="106" spans="1:5" ht="15">
      <c r="A106" s="309" t="s">
        <v>178</v>
      </c>
      <c r="B106" t="s">
        <v>179</v>
      </c>
      <c r="C106">
        <v>3091310</v>
      </c>
      <c r="D106">
        <v>0</v>
      </c>
      <c r="E106">
        <v>3091310</v>
      </c>
    </row>
    <row r="107" spans="1:5" ht="15">
      <c r="A107" s="309" t="s">
        <v>688</v>
      </c>
      <c r="B107" t="s">
        <v>689</v>
      </c>
      <c r="C107">
        <v>28166000</v>
      </c>
      <c r="D107">
        <v>0</v>
      </c>
      <c r="E107">
        <v>28166000</v>
      </c>
    </row>
    <row r="108" spans="1:5" ht="15">
      <c r="A108" s="309" t="s">
        <v>1097</v>
      </c>
      <c r="B108" t="s">
        <v>1098</v>
      </c>
      <c r="C108">
        <v>12089000</v>
      </c>
      <c r="D108">
        <v>0</v>
      </c>
      <c r="E108">
        <v>12089000</v>
      </c>
    </row>
    <row r="109" spans="1:5" ht="15">
      <c r="A109" s="309" t="s">
        <v>381</v>
      </c>
      <c r="B109" t="s">
        <v>382</v>
      </c>
      <c r="C109">
        <v>6298821000</v>
      </c>
      <c r="D109">
        <v>0</v>
      </c>
      <c r="E109">
        <v>6298821000</v>
      </c>
    </row>
    <row r="110" spans="1:5" ht="15">
      <c r="A110" s="309" t="s">
        <v>383</v>
      </c>
      <c r="B110" t="s">
        <v>384</v>
      </c>
      <c r="C110">
        <v>4482000</v>
      </c>
      <c r="D110">
        <v>0</v>
      </c>
      <c r="E110">
        <v>4482000</v>
      </c>
    </row>
    <row r="111" spans="1:5" ht="15">
      <c r="A111" s="309" t="s">
        <v>954</v>
      </c>
      <c r="B111" t="s">
        <v>955</v>
      </c>
      <c r="C111">
        <v>50000</v>
      </c>
      <c r="D111">
        <v>0</v>
      </c>
      <c r="E111">
        <v>50000</v>
      </c>
    </row>
    <row r="112" spans="1:5" ht="15">
      <c r="A112" s="309" t="s">
        <v>956</v>
      </c>
      <c r="B112" t="s">
        <v>957</v>
      </c>
      <c r="C112">
        <v>19284000</v>
      </c>
      <c r="D112">
        <v>0</v>
      </c>
      <c r="E112">
        <v>19284000</v>
      </c>
    </row>
    <row r="113" spans="1:5" ht="15">
      <c r="A113" s="309" t="s">
        <v>61</v>
      </c>
      <c r="B113" t="s">
        <v>62</v>
      </c>
      <c r="C113">
        <v>1354000</v>
      </c>
      <c r="D113">
        <v>0</v>
      </c>
      <c r="E113">
        <v>1354000</v>
      </c>
    </row>
    <row r="114" spans="1:5" ht="15">
      <c r="A114" s="309" t="s">
        <v>958</v>
      </c>
      <c r="B114" t="s">
        <v>959</v>
      </c>
      <c r="C114">
        <v>12495000</v>
      </c>
      <c r="D114">
        <v>0</v>
      </c>
      <c r="E114">
        <v>12495000</v>
      </c>
    </row>
    <row r="115" spans="1:5" ht="15">
      <c r="A115" s="309" t="s">
        <v>960</v>
      </c>
      <c r="B115" t="s">
        <v>961</v>
      </c>
      <c r="C115">
        <v>18487635000</v>
      </c>
      <c r="D115">
        <v>7700930000</v>
      </c>
      <c r="E115">
        <v>10786705000</v>
      </c>
    </row>
    <row r="116" spans="1:5" ht="15">
      <c r="A116" s="309" t="s">
        <v>1077</v>
      </c>
      <c r="B116" t="s">
        <v>1078</v>
      </c>
      <c r="C116">
        <v>408781000</v>
      </c>
      <c r="D116">
        <v>0</v>
      </c>
      <c r="E116">
        <v>408781000</v>
      </c>
    </row>
    <row r="117" spans="1:5" ht="15">
      <c r="A117" s="309" t="s">
        <v>784</v>
      </c>
      <c r="B117" t="s">
        <v>785</v>
      </c>
      <c r="C117">
        <v>65832000</v>
      </c>
      <c r="D117">
        <v>0</v>
      </c>
      <c r="E117">
        <v>65832000</v>
      </c>
    </row>
    <row r="118" spans="1:5" ht="15">
      <c r="A118" s="309" t="s">
        <v>376</v>
      </c>
      <c r="B118" t="s">
        <v>377</v>
      </c>
      <c r="C118">
        <v>174446352</v>
      </c>
      <c r="D118">
        <v>0</v>
      </c>
      <c r="E118">
        <v>174446352</v>
      </c>
    </row>
    <row r="119" spans="1:5" ht="15">
      <c r="A119" s="309" t="s">
        <v>378</v>
      </c>
      <c r="B119" t="s">
        <v>379</v>
      </c>
      <c r="C119">
        <v>34779461090</v>
      </c>
      <c r="D119">
        <v>3328661000</v>
      </c>
      <c r="E119">
        <v>31450800090</v>
      </c>
    </row>
    <row r="120" spans="1:5" ht="15">
      <c r="A120" s="309" t="s">
        <v>1074</v>
      </c>
      <c r="B120" t="s">
        <v>380</v>
      </c>
      <c r="C120">
        <v>760141000</v>
      </c>
      <c r="D120">
        <v>346000</v>
      </c>
      <c r="E120">
        <v>759795000</v>
      </c>
    </row>
    <row r="121" spans="1:5" ht="15">
      <c r="A121" s="309" t="s">
        <v>193</v>
      </c>
      <c r="B121" t="s">
        <v>194</v>
      </c>
      <c r="C121">
        <v>67000</v>
      </c>
      <c r="D121">
        <v>0</v>
      </c>
      <c r="E121">
        <v>67000</v>
      </c>
    </row>
    <row r="122" spans="1:5" ht="15">
      <c r="A122" s="309" t="s">
        <v>1159</v>
      </c>
      <c r="B122" t="s">
        <v>1160</v>
      </c>
      <c r="C122">
        <v>50225000</v>
      </c>
      <c r="D122">
        <v>0</v>
      </c>
      <c r="E122">
        <v>50225000</v>
      </c>
    </row>
    <row r="123" spans="1:5" ht="15">
      <c r="A123" s="309" t="s">
        <v>330</v>
      </c>
      <c r="B123" t="s">
        <v>331</v>
      </c>
      <c r="C123">
        <v>27545000</v>
      </c>
      <c r="D123">
        <v>0</v>
      </c>
      <c r="E123">
        <v>27545000</v>
      </c>
    </row>
    <row r="124" spans="1:5" ht="15">
      <c r="A124" s="309" t="s">
        <v>332</v>
      </c>
      <c r="B124" t="s">
        <v>333</v>
      </c>
      <c r="C124">
        <v>3977802000</v>
      </c>
      <c r="D124">
        <v>43977000</v>
      </c>
      <c r="E124">
        <v>3933825000</v>
      </c>
    </row>
    <row r="125" spans="1:5" ht="15">
      <c r="A125" s="309" t="s">
        <v>595</v>
      </c>
      <c r="B125" t="s">
        <v>596</v>
      </c>
      <c r="C125">
        <v>8952000</v>
      </c>
      <c r="D125">
        <v>0</v>
      </c>
      <c r="E125">
        <v>8952000</v>
      </c>
    </row>
    <row r="126" spans="1:5" ht="15">
      <c r="A126" s="309" t="s">
        <v>334</v>
      </c>
      <c r="B126" t="s">
        <v>335</v>
      </c>
      <c r="C126">
        <v>76539000</v>
      </c>
      <c r="D126">
        <v>0</v>
      </c>
      <c r="E126">
        <v>76539000</v>
      </c>
    </row>
    <row r="127" spans="1:5" ht="15">
      <c r="A127" s="309" t="s">
        <v>2</v>
      </c>
      <c r="B127" t="s">
        <v>3</v>
      </c>
      <c r="C127">
        <v>358000</v>
      </c>
      <c r="D127">
        <v>0</v>
      </c>
      <c r="E127">
        <v>358000</v>
      </c>
    </row>
    <row r="128" spans="1:5" ht="15">
      <c r="A128" s="309" t="s">
        <v>336</v>
      </c>
      <c r="B128" t="s">
        <v>337</v>
      </c>
      <c r="C128">
        <v>914730000</v>
      </c>
      <c r="D128">
        <v>92000</v>
      </c>
      <c r="E128">
        <v>914638000</v>
      </c>
    </row>
    <row r="129" spans="1:5" ht="15">
      <c r="A129" s="309" t="s">
        <v>338</v>
      </c>
      <c r="B129" t="s">
        <v>339</v>
      </c>
      <c r="C129">
        <v>29235883886.75</v>
      </c>
      <c r="D129">
        <v>16519527000</v>
      </c>
      <c r="E129">
        <v>12716356886.75</v>
      </c>
    </row>
    <row r="130" spans="1:5" ht="15">
      <c r="A130" s="309" t="s">
        <v>180</v>
      </c>
      <c r="B130" t="s">
        <v>181</v>
      </c>
      <c r="C130">
        <v>5034135</v>
      </c>
      <c r="D130">
        <v>0</v>
      </c>
      <c r="E130">
        <v>5034135</v>
      </c>
    </row>
    <row r="131" spans="1:5" ht="15">
      <c r="A131" s="309" t="s">
        <v>340</v>
      </c>
      <c r="B131" t="s">
        <v>341</v>
      </c>
      <c r="C131">
        <v>2210400000</v>
      </c>
      <c r="D131">
        <v>0</v>
      </c>
      <c r="E131">
        <v>2210400000</v>
      </c>
    </row>
    <row r="132" spans="1:5" ht="15">
      <c r="A132" s="309" t="s">
        <v>342</v>
      </c>
      <c r="B132" t="s">
        <v>343</v>
      </c>
      <c r="C132">
        <v>39559000</v>
      </c>
      <c r="D132">
        <v>0</v>
      </c>
      <c r="E132">
        <v>39559000</v>
      </c>
    </row>
    <row r="133" spans="1:5" ht="15">
      <c r="A133" s="309" t="s">
        <v>725</v>
      </c>
      <c r="B133" t="s">
        <v>726</v>
      </c>
      <c r="C133">
        <v>225400000</v>
      </c>
      <c r="D133">
        <v>0</v>
      </c>
      <c r="E133">
        <v>225400000</v>
      </c>
    </row>
    <row r="134" spans="1:5" ht="15">
      <c r="A134" s="309" t="s">
        <v>201</v>
      </c>
      <c r="B134" t="s">
        <v>694</v>
      </c>
      <c r="C134">
        <v>235998696.46</v>
      </c>
      <c r="D134">
        <v>0</v>
      </c>
      <c r="E134">
        <v>235998696.46</v>
      </c>
    </row>
    <row r="135" spans="1:5" ht="15">
      <c r="A135" s="309" t="s">
        <v>50</v>
      </c>
      <c r="B135" t="s">
        <v>51</v>
      </c>
      <c r="C135">
        <v>2871000</v>
      </c>
      <c r="D135">
        <v>0</v>
      </c>
      <c r="E135">
        <v>2871000</v>
      </c>
    </row>
    <row r="136" spans="1:5" ht="15">
      <c r="A136" s="309" t="s">
        <v>52</v>
      </c>
      <c r="B136" t="s">
        <v>53</v>
      </c>
      <c r="C136">
        <v>845371000</v>
      </c>
      <c r="D136">
        <v>312630000</v>
      </c>
      <c r="E136">
        <v>532741000</v>
      </c>
    </row>
    <row r="137" spans="1:5" ht="15">
      <c r="A137" s="309" t="s">
        <v>511</v>
      </c>
      <c r="B137" t="s">
        <v>512</v>
      </c>
      <c r="C137">
        <v>23641000</v>
      </c>
      <c r="D137">
        <v>0</v>
      </c>
      <c r="E137">
        <v>23641000</v>
      </c>
    </row>
    <row r="138" spans="1:5" ht="15">
      <c r="A138" s="309" t="s">
        <v>1010</v>
      </c>
      <c r="B138" t="s">
        <v>1011</v>
      </c>
      <c r="C138">
        <v>426000</v>
      </c>
      <c r="D138">
        <v>0</v>
      </c>
      <c r="E138">
        <v>426000</v>
      </c>
    </row>
    <row r="139" spans="1:5" ht="15">
      <c r="A139" s="309" t="s">
        <v>605</v>
      </c>
      <c r="B139" t="s">
        <v>606</v>
      </c>
      <c r="C139">
        <v>13381000</v>
      </c>
      <c r="D139">
        <v>0</v>
      </c>
      <c r="E139">
        <v>13381000</v>
      </c>
    </row>
    <row r="140" spans="1:5" ht="15">
      <c r="A140" s="309" t="s">
        <v>754</v>
      </c>
      <c r="B140" t="s">
        <v>755</v>
      </c>
      <c r="C140">
        <v>2589000</v>
      </c>
      <c r="D140">
        <v>0</v>
      </c>
      <c r="E140">
        <v>2589000</v>
      </c>
    </row>
    <row r="141" spans="1:5" ht="15">
      <c r="A141" s="309" t="s">
        <v>1154</v>
      </c>
      <c r="B141" t="s">
        <v>1155</v>
      </c>
      <c r="C141">
        <v>2170000</v>
      </c>
      <c r="D141">
        <v>0</v>
      </c>
      <c r="E141">
        <v>2170000</v>
      </c>
    </row>
    <row r="142" spans="1:5" ht="15">
      <c r="A142" s="309" t="s">
        <v>1156</v>
      </c>
      <c r="B142" t="s">
        <v>1157</v>
      </c>
      <c r="C142">
        <v>27018000</v>
      </c>
      <c r="D142">
        <v>0</v>
      </c>
      <c r="E142">
        <v>27018000</v>
      </c>
    </row>
    <row r="143" spans="1:5" ht="15">
      <c r="A143" s="309" t="s">
        <v>1034</v>
      </c>
      <c r="B143" t="s">
        <v>1158</v>
      </c>
      <c r="C143">
        <v>15970000</v>
      </c>
      <c r="D143">
        <v>1509000</v>
      </c>
      <c r="E143">
        <v>14461000</v>
      </c>
    </row>
    <row r="144" spans="1:5" ht="15">
      <c r="A144" s="309" t="s">
        <v>17</v>
      </c>
      <c r="B144" t="s">
        <v>18</v>
      </c>
      <c r="C144">
        <v>12634081250</v>
      </c>
      <c r="D144">
        <v>460000000</v>
      </c>
      <c r="E144">
        <v>12174081250</v>
      </c>
    </row>
    <row r="145" spans="1:5" ht="15">
      <c r="A145" s="309" t="s">
        <v>345</v>
      </c>
      <c r="B145" t="s">
        <v>346</v>
      </c>
      <c r="C145">
        <v>13318000</v>
      </c>
      <c r="D145">
        <v>0</v>
      </c>
      <c r="E145">
        <v>13318000</v>
      </c>
    </row>
    <row r="146" spans="1:5" ht="15">
      <c r="A146" s="309" t="s">
        <v>248</v>
      </c>
      <c r="B146" t="s">
        <v>249</v>
      </c>
      <c r="C146">
        <v>310939000</v>
      </c>
      <c r="D146">
        <v>0</v>
      </c>
      <c r="E146">
        <v>310939000</v>
      </c>
    </row>
    <row r="147" spans="1:5" ht="15">
      <c r="A147" s="309" t="s">
        <v>1075</v>
      </c>
      <c r="B147" t="s">
        <v>250</v>
      </c>
      <c r="C147">
        <v>504000</v>
      </c>
      <c r="D147">
        <v>0</v>
      </c>
      <c r="E147">
        <v>504000</v>
      </c>
    </row>
    <row r="148" spans="1:5" ht="15">
      <c r="A148" s="309" t="s">
        <v>251</v>
      </c>
      <c r="B148" t="s">
        <v>252</v>
      </c>
      <c r="C148">
        <v>470000</v>
      </c>
      <c r="D148">
        <v>0</v>
      </c>
      <c r="E148">
        <v>470000</v>
      </c>
    </row>
    <row r="149" spans="1:5" ht="15">
      <c r="A149" s="309" t="s">
        <v>253</v>
      </c>
      <c r="B149" t="s">
        <v>254</v>
      </c>
      <c r="C149">
        <v>1429297000</v>
      </c>
      <c r="D149">
        <v>585224000</v>
      </c>
      <c r="E149">
        <v>844073000</v>
      </c>
    </row>
    <row r="150" spans="1:5" ht="15">
      <c r="A150" s="309" t="s">
        <v>255</v>
      </c>
      <c r="B150" t="s">
        <v>256</v>
      </c>
      <c r="C150">
        <v>75352436.76</v>
      </c>
      <c r="D150">
        <v>3265.66</v>
      </c>
      <c r="E150">
        <v>75349171.1</v>
      </c>
    </row>
    <row r="151" spans="1:5" ht="15">
      <c r="A151" s="309" t="s">
        <v>370</v>
      </c>
      <c r="B151" t="s">
        <v>371</v>
      </c>
      <c r="C151">
        <v>1317485000</v>
      </c>
      <c r="D151">
        <v>0</v>
      </c>
      <c r="E151">
        <v>1317485000</v>
      </c>
    </row>
    <row r="152" spans="1:5" ht="15">
      <c r="A152" s="309" t="s">
        <v>622</v>
      </c>
      <c r="B152" t="s">
        <v>623</v>
      </c>
      <c r="C152">
        <v>8201000</v>
      </c>
      <c r="D152">
        <v>0</v>
      </c>
      <c r="E152">
        <v>8201000</v>
      </c>
    </row>
    <row r="153" spans="1:5" ht="15">
      <c r="A153" s="309" t="s">
        <v>624</v>
      </c>
      <c r="B153" t="s">
        <v>625</v>
      </c>
      <c r="C153">
        <v>206079000</v>
      </c>
      <c r="D153">
        <v>0</v>
      </c>
      <c r="E153">
        <v>206079000</v>
      </c>
    </row>
    <row r="154" spans="1:5" ht="15">
      <c r="A154" s="309" t="s">
        <v>943</v>
      </c>
      <c r="B154" t="s">
        <v>944</v>
      </c>
      <c r="C154">
        <v>24929791.7</v>
      </c>
      <c r="D154">
        <v>0</v>
      </c>
      <c r="E154">
        <v>24929791.7</v>
      </c>
    </row>
    <row r="155" spans="1:5" ht="15">
      <c r="A155" s="309" t="s">
        <v>945</v>
      </c>
      <c r="B155" t="s">
        <v>1035</v>
      </c>
      <c r="C155">
        <v>25073781.06</v>
      </c>
      <c r="D155">
        <v>0</v>
      </c>
      <c r="E155">
        <v>25073781.06</v>
      </c>
    </row>
    <row r="156" spans="1:5" ht="15">
      <c r="A156" s="309" t="s">
        <v>405</v>
      </c>
      <c r="B156" t="s">
        <v>406</v>
      </c>
      <c r="C156">
        <v>65975000</v>
      </c>
      <c r="D156">
        <v>16000</v>
      </c>
      <c r="E156">
        <v>65959000</v>
      </c>
    </row>
    <row r="157" spans="1:5" ht="15">
      <c r="A157" s="309" t="s">
        <v>676</v>
      </c>
      <c r="B157" t="s">
        <v>677</v>
      </c>
      <c r="C157">
        <v>5000</v>
      </c>
      <c r="D157">
        <v>0</v>
      </c>
      <c r="E157">
        <v>5000</v>
      </c>
    </row>
    <row r="158" spans="1:5" ht="15">
      <c r="A158" s="309" t="s">
        <v>407</v>
      </c>
      <c r="B158" t="s">
        <v>408</v>
      </c>
      <c r="C158">
        <v>55404293000</v>
      </c>
      <c r="D158">
        <v>2607932000</v>
      </c>
      <c r="E158">
        <v>52796361000</v>
      </c>
    </row>
    <row r="159" spans="1:5" ht="15">
      <c r="A159" s="309" t="s">
        <v>409</v>
      </c>
      <c r="B159" t="s">
        <v>410</v>
      </c>
      <c r="C159">
        <v>1383309000</v>
      </c>
      <c r="D159">
        <v>0</v>
      </c>
      <c r="E159">
        <v>1383309000</v>
      </c>
    </row>
    <row r="160" spans="1:5" ht="15">
      <c r="A160" s="309" t="s">
        <v>1101</v>
      </c>
      <c r="B160" t="s">
        <v>1102</v>
      </c>
      <c r="C160">
        <v>76042000</v>
      </c>
      <c r="D160">
        <v>30095000</v>
      </c>
      <c r="E160">
        <v>45947000</v>
      </c>
    </row>
    <row r="161" spans="1:5" ht="15">
      <c r="A161" s="309" t="s">
        <v>1103</v>
      </c>
      <c r="B161" t="s">
        <v>1104</v>
      </c>
      <c r="C161">
        <v>7004100</v>
      </c>
      <c r="D161">
        <v>0</v>
      </c>
      <c r="E161">
        <v>7004100</v>
      </c>
    </row>
    <row r="162" spans="1:5" ht="15">
      <c r="A162" s="309" t="s">
        <v>1105</v>
      </c>
      <c r="B162" t="s">
        <v>1106</v>
      </c>
      <c r="C162">
        <v>260366000</v>
      </c>
      <c r="D162">
        <v>0</v>
      </c>
      <c r="E162">
        <v>260366000</v>
      </c>
    </row>
    <row r="163" spans="1:5" ht="15">
      <c r="A163" s="309" t="s">
        <v>1086</v>
      </c>
      <c r="B163" t="s">
        <v>1087</v>
      </c>
      <c r="C163">
        <v>3845496000</v>
      </c>
      <c r="D163">
        <v>0</v>
      </c>
      <c r="E163">
        <v>3845496000</v>
      </c>
    </row>
    <row r="164" spans="1:5" ht="15">
      <c r="A164" s="309" t="s">
        <v>1088</v>
      </c>
      <c r="B164" t="s">
        <v>1089</v>
      </c>
      <c r="C164">
        <v>142348000</v>
      </c>
      <c r="D164">
        <v>0</v>
      </c>
      <c r="E164">
        <v>142348000</v>
      </c>
    </row>
    <row r="165" spans="1:5" ht="15">
      <c r="A165" s="309" t="s">
        <v>1090</v>
      </c>
      <c r="B165" t="s">
        <v>1091</v>
      </c>
      <c r="C165">
        <v>2103132000</v>
      </c>
      <c r="D165">
        <v>0</v>
      </c>
      <c r="E165">
        <v>2103132000</v>
      </c>
    </row>
    <row r="166" spans="1:5" ht="15">
      <c r="A166" s="309" t="s">
        <v>1092</v>
      </c>
      <c r="B166" t="s">
        <v>1093</v>
      </c>
      <c r="C166">
        <v>713500000</v>
      </c>
      <c r="D166">
        <v>283378000</v>
      </c>
      <c r="E166">
        <v>430122000</v>
      </c>
    </row>
    <row r="167" spans="1:5" ht="15">
      <c r="A167" s="309" t="s">
        <v>716</v>
      </c>
      <c r="B167" t="s">
        <v>717</v>
      </c>
      <c r="C167">
        <v>2940328000</v>
      </c>
      <c r="D167">
        <v>991582000</v>
      </c>
      <c r="E167">
        <v>1948746000</v>
      </c>
    </row>
    <row r="168" spans="1:5" ht="15">
      <c r="A168" s="309" t="s">
        <v>718</v>
      </c>
      <c r="B168" t="s">
        <v>719</v>
      </c>
      <c r="C168">
        <v>255000</v>
      </c>
      <c r="D168">
        <v>0</v>
      </c>
      <c r="E168">
        <v>255000</v>
      </c>
    </row>
    <row r="169" spans="1:5" ht="15">
      <c r="A169" s="309" t="s">
        <v>720</v>
      </c>
      <c r="B169" t="s">
        <v>721</v>
      </c>
      <c r="C169">
        <v>696444466.48</v>
      </c>
      <c r="D169">
        <v>0</v>
      </c>
      <c r="E169">
        <v>696444466.48</v>
      </c>
    </row>
    <row r="170" spans="1:5" ht="15">
      <c r="A170" s="309" t="s">
        <v>588</v>
      </c>
      <c r="B170" t="s">
        <v>589</v>
      </c>
      <c r="C170">
        <v>36588000</v>
      </c>
      <c r="D170">
        <v>0</v>
      </c>
      <c r="E170">
        <v>36588000</v>
      </c>
    </row>
  </sheetData>
  <printOptions gridLines="1" horizontalCentered="1"/>
  <pageMargins left="0.5" right="0" top="0.6" bottom="0.25" header="0" footer="0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Kim Hershman</cp:lastModifiedBy>
  <cp:lastPrinted>2005-08-03T18:24:20Z</cp:lastPrinted>
  <dcterms:created xsi:type="dcterms:W3CDTF">1998-12-22T15:47:59Z</dcterms:created>
  <dcterms:modified xsi:type="dcterms:W3CDTF">2005-08-05T11:50:13Z</dcterms:modified>
  <cp:category/>
  <cp:version/>
  <cp:contentType/>
  <cp:contentStatus/>
</cp:coreProperties>
</file>