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5760" windowHeight="6600" tabRatio="808" activeTab="0"/>
  </bookViews>
  <sheets>
    <sheet name="Summary" sheetId="1" r:id="rId1"/>
    <sheet name="Marketable" sheetId="2" r:id="rId2"/>
    <sheet name="Nonmarketable" sheetId="3" r:id="rId3"/>
    <sheet name="GAS" sheetId="4" r:id="rId4"/>
    <sheet name="TableIV" sheetId="5" r:id="rId5"/>
    <sheet name="Footnotes" sheetId="6" r:id="rId6"/>
    <sheet name="GAS ASCII" sheetId="7" r:id="rId7"/>
  </sheets>
  <definedNames>
    <definedName name="_Key1" hidden="1">'Marketable'!#REF!</definedName>
    <definedName name="_Order1" localSheetId="3" hidden="1">255</definedName>
    <definedName name="_Order1" localSheetId="6" hidden="1">255</definedName>
    <definedName name="_Order1" localSheetId="1" hidden="1">255</definedName>
    <definedName name="_Order1" localSheetId="2" hidden="1">255</definedName>
    <definedName name="_Order1" localSheetId="4" hidden="1">255</definedName>
    <definedName name="_Sort" hidden="1">'Marketable'!#REF!</definedName>
    <definedName name="ACwvu.page10." hidden="1">'TableIV'!$1:$12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'Marketable'!#REF!</definedName>
    <definedName name="GASASCII">'GAS ASCII'!$B:$E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3">'GAS'!$A$1:$M$286</definedName>
    <definedName name="_xlnm.Print_Area" localSheetId="6">'GAS ASCII'!$A$1:$E$169</definedName>
    <definedName name="_xlnm.Print_Area" localSheetId="1">'Marketable'!$A$1:$P$341</definedName>
    <definedName name="_xlnm.Print_Area" localSheetId="2">'Nonmarketable'!$A$1:$P$80</definedName>
    <definedName name="_xlnm.Print_Area" localSheetId="4">'TableIV'!$A$1:$J$184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hidden="1">'TableIV'!$1:$12</definedName>
    <definedName name="TOTALROW1">#REF!</definedName>
    <definedName name="TOTALROW3">#REF!</definedName>
    <definedName name="TOTALS_GDEBT">'TableIV'!$K$6:$K$11</definedName>
    <definedName name="TOTALS_MSPD2">'GAS'!$H$73:$I$281</definedName>
    <definedName name="TOTALS_MSPD2A">'GAS'!$I$262:$L$281</definedName>
    <definedName name="TOTALS_PAGE2">'Marketable'!$K$8:$P$190</definedName>
    <definedName name="wrn.mspd." hidden="1">{#N/A,#N/A,FALSE,"Summary";#N/A,#N/A,FALSE,"Marketable";#N/A,#N/A,FALSE,"Nonmarketable";#N/A,#N/A,FALSE,"GAS";#N/A,#N/A,FALSE,"TableIV";#N/A,#N/A,FALSE,"Footnotes"}</definedName>
    <definedName name="wvu.page10.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1" hidden="1">'Marketable'!#REF!</definedName>
    <definedName name="Z_299E6BA2_5C55_11D3_95FC_00C04F98DD55_.wvu.Cols" localSheetId="4" hidden="1">'TableIV'!$M:$M</definedName>
    <definedName name="Z_299E6BA2_5C55_11D3_95FC_00C04F98DD55_.wvu.PrintArea" localSheetId="3" hidden="1">'GAS'!$A$1:$M$281</definedName>
    <definedName name="Z_299E6BA2_5C55_11D3_95FC_00C04F98DD55_.wvu.PrintArea" localSheetId="6" hidden="1">'Footnotes'!$A$1:$M$70</definedName>
    <definedName name="Z_299E6BA2_5C55_11D3_95FC_00C04F98DD55_.wvu.PrintArea" localSheetId="1" hidden="1">'Marketable'!$A$1:$P$341</definedName>
    <definedName name="Z_299E6BA2_5C55_11D3_95FC_00C04F98DD55_.wvu.PrintArea" localSheetId="4" hidden="1">'TableIV'!$A$1:$J$185</definedName>
    <definedName name="Z_299E6BA2_5C55_11D3_95FC_00C04F98DD55_.wvu.Rows" localSheetId="3" hidden="1">'GAS'!#REF!</definedName>
    <definedName name="Z_299E6BA2_5C55_11D3_95FC_00C04F98DD55_.wvu.Rows" localSheetId="1" hidden="1">'Marketable'!$177:$177</definedName>
    <definedName name="Z_F8F97401_998A_11D2_AE2A_00C04F98DCD3_.wvu.PrintArea" hidden="1">'TableIV'!$A$1:$J$184</definedName>
    <definedName name="Z_FDA6B625_998F_11D2_AE2A_00C04F98DCD3_.wvu.PrintArea" hidden="1">'TableIV'!$A$1:$J$184</definedName>
  </definedNames>
  <calcPr fullCalcOnLoad="1"/>
</workbook>
</file>

<file path=xl/sharedStrings.xml><?xml version="1.0" encoding="utf-8"?>
<sst xmlns="http://schemas.openxmlformats.org/spreadsheetml/2006/main" count="2392" uniqueCount="1229">
  <si>
    <t>National and Federal Reserve Bank Notes assumed by the United States on deposit of lawful money for their retirement ...........................................................................................</t>
  </si>
  <si>
    <t>5M0</t>
  </si>
  <si>
    <t>5S7</t>
  </si>
  <si>
    <t>6D9</t>
  </si>
  <si>
    <t>6N7</t>
  </si>
  <si>
    <t>5Z1</t>
  </si>
  <si>
    <t>6J6</t>
  </si>
  <si>
    <t>CK2</t>
  </si>
  <si>
    <t>DM7</t>
  </si>
  <si>
    <t>CM8</t>
  </si>
  <si>
    <t>CP1</t>
  </si>
  <si>
    <t>DQ8</t>
  </si>
  <si>
    <t>DR6</t>
  </si>
  <si>
    <t>CS5</t>
  </si>
  <si>
    <t xml:space="preserve">  DU9</t>
  </si>
  <si>
    <t xml:space="preserve">  CV8</t>
  </si>
  <si>
    <t xml:space="preserve"> CY2</t>
  </si>
  <si>
    <t>Department of the Army General Gift Fund......................................................................................................................</t>
  </si>
  <si>
    <t>Department of the Navy General Gift Fund................................................................................................................</t>
  </si>
  <si>
    <t>FT9</t>
  </si>
  <si>
    <t>District of Columbia Judges Retirement Fund.............................................................................................................................................</t>
  </si>
  <si>
    <t>Eisenhower Exchange Fellowship Program Trust Fund........................................................................................</t>
  </si>
  <si>
    <t>Tribal Special Fund, Office of the Special Trustee for American Indians.......................................................................</t>
  </si>
  <si>
    <t>912827  R87</t>
  </si>
  <si>
    <t>912828  AK6</t>
  </si>
  <si>
    <t>2-1/8</t>
  </si>
  <si>
    <t>HG5</t>
  </si>
  <si>
    <t>AL4</t>
  </si>
  <si>
    <t>1-7/8</t>
  </si>
  <si>
    <t>HH3</t>
  </si>
  <si>
    <t>Community Development Credit Union Revolving Fund</t>
  </si>
  <si>
    <t>Gifts and Bequests, Office of the Secretary, Department of Transportation........................................…</t>
  </si>
  <si>
    <t>Debt Subject to Limit:</t>
  </si>
  <si>
    <t>Employees' Life Insurance Fund, Office of Personnel Management.....................................................................</t>
  </si>
  <si>
    <t>Esther Cattell Schmitt Gift Fund, Treasury.......................................................................................................................................</t>
  </si>
  <si>
    <t>irretrievably lost.</t>
  </si>
  <si>
    <t>Excludes $29 million National Bank Notes issued prior to July 1, 1929, and $2 million Federal Reserve Bank Notes issued prior to July 1, 1929, determined</t>
  </si>
  <si>
    <t>pursuant to Act of June 30, 1961, 31 U.S.C. 5119 to have been destroyed or irretrievably lost.</t>
  </si>
  <si>
    <t xml:space="preserve">Excludes $200 million Silver Certificates issued after June 30, 1929, determined pursuant to Act of June 24, 1967, to have been destroyed or irretrievably lost.          </t>
  </si>
  <si>
    <t>GENERAL:</t>
  </si>
  <si>
    <t>The outstanding balances in this statement are based upon daily cash activity reports from Federal Reserve Banks and Bureau Offices and are subject to</t>
  </si>
  <si>
    <t xml:space="preserve">  FF0</t>
  </si>
  <si>
    <t>audit and subsequent adjustments.</t>
  </si>
  <si>
    <t>Totals</t>
  </si>
  <si>
    <t>Other Debt Subject to Limit:</t>
  </si>
  <si>
    <t>Less Amounts Not Subject to Limit:</t>
  </si>
  <si>
    <t>Amount Outstanding</t>
  </si>
  <si>
    <t>Intragovernmental</t>
  </si>
  <si>
    <t>Holdings</t>
  </si>
  <si>
    <t>Debt Held</t>
  </si>
  <si>
    <t xml:space="preserve">  Government Account Series - Held By the Public:</t>
  </si>
  <si>
    <t>Government Account Series - Intragovernmental Holdings:</t>
  </si>
  <si>
    <t>Other Debt:</t>
  </si>
  <si>
    <t>Government Account Series - Intragovernmental Holdings--Continued:</t>
  </si>
  <si>
    <t>Retired Employees Health Benefits Fund,</t>
  </si>
  <si>
    <t>b</t>
  </si>
  <si>
    <t>Issued pursuant to Sec. 832(e), Internal Revenue Code of 1954.</t>
  </si>
  <si>
    <t>TAX STATUS:</t>
  </si>
  <si>
    <t>c</t>
  </si>
  <si>
    <t>National Credit Union Share Insurance Fund..................................................................................................................................................…</t>
  </si>
  <si>
    <t>(Retired) / Inflation Adj.</t>
  </si>
  <si>
    <t>a</t>
  </si>
  <si>
    <t>Treasury Bills (Maturity Value):</t>
  </si>
  <si>
    <t>CUSIP:</t>
  </si>
  <si>
    <t>Yield:</t>
  </si>
  <si>
    <t xml:space="preserve"> ...................</t>
  </si>
  <si>
    <t>................</t>
  </si>
  <si>
    <t>..............</t>
  </si>
  <si>
    <t>.............</t>
  </si>
  <si>
    <t>Treasury Notes:</t>
  </si>
  <si>
    <t>Series:</t>
  </si>
  <si>
    <t>Interest Rate:</t>
  </si>
  <si>
    <t>V</t>
  </si>
  <si>
    <t>06/30-12/31</t>
  </si>
  <si>
    <t>5-3/4</t>
  </si>
  <si>
    <t>E</t>
  </si>
  <si>
    <t>6-3/8</t>
  </si>
  <si>
    <t>01/15-07/15</t>
  </si>
  <si>
    <t>J</t>
  </si>
  <si>
    <t>01/31-07/31</t>
  </si>
  <si>
    <t>5-7/8</t>
  </si>
  <si>
    <t>A</t>
  </si>
  <si>
    <t>8-7/8</t>
  </si>
  <si>
    <t>Conditional Gift Fund, General, Department of State..........................................................................................................................................................................................................................…</t>
  </si>
  <si>
    <t>Expenses and Refunds, Inspection and Grading of Farm Products, Agricultural</t>
  </si>
  <si>
    <t xml:space="preserve">   Marketing Service.....................................................................................................................................................................................................................……</t>
  </si>
  <si>
    <t>Judicial Officers Retirement Fund...............................................................................................................................</t>
  </si>
  <si>
    <t>Effective May 1, 1987, securities held in stripped form were eligible for reconstitution to their unstripped form.</t>
  </si>
  <si>
    <t>Judicial Survivors Annuities Fund................................................................................................................................</t>
  </si>
  <si>
    <t>AP5</t>
  </si>
  <si>
    <t>AN0</t>
  </si>
  <si>
    <t>HK6</t>
  </si>
  <si>
    <t>HL4</t>
  </si>
  <si>
    <t>Kennedy Center Revenue Bond Sinking Fund............................................................................................................</t>
  </si>
  <si>
    <t>912828  AT7</t>
  </si>
  <si>
    <t>HQ3</t>
  </si>
  <si>
    <t>AU4</t>
  </si>
  <si>
    <t>HR1</t>
  </si>
  <si>
    <t>CDO</t>
  </si>
  <si>
    <t>Civil Service Retirement and Disability Fund, Office of Personnel Management...........................................................................................................................................................</t>
  </si>
  <si>
    <t xml:space="preserve"> Income derived from these securities is subject to all taxes now or hereafter imposed under the Internal Revenue Code of 1986, as amended.</t>
  </si>
  <si>
    <t>e</t>
  </si>
  <si>
    <t>Federal Supplemental District of Columbia Pension Fund..................................................................................................................................................................................………</t>
  </si>
  <si>
    <t>Panama Canal Commission Dissolution Fund......................................................................................................</t>
  </si>
  <si>
    <t>Endeavor Teacher Fellowship Trust Fund.................................................................................................................................................................…</t>
  </si>
  <si>
    <t>Expenses, Presidio Trust.................................................................................................................................................................…</t>
  </si>
  <si>
    <t>Total Government Account Series.....................................................................................................................…</t>
  </si>
  <si>
    <t>BE9</t>
  </si>
  <si>
    <t>JB4</t>
  </si>
  <si>
    <t xml:space="preserve"> DB1</t>
  </si>
  <si>
    <t xml:space="preserve"> DF2</t>
  </si>
  <si>
    <t xml:space="preserve"> DJ4</t>
  </si>
  <si>
    <t xml:space="preserve"> DL9</t>
  </si>
  <si>
    <t xml:space="preserve"> DN5</t>
  </si>
  <si>
    <t>912828  AH3</t>
  </si>
  <si>
    <t xml:space="preserve">    and Enforcement.................................................................................................................................................................…</t>
  </si>
  <si>
    <t>Senate Preservation Trust Fund.........................................................................................................................</t>
  </si>
  <si>
    <t>The bonds are issued at par and semiannual interest is added to principal.  Redeemable without interest during the first twelve months after issue date.  There-</t>
  </si>
  <si>
    <t>Marketable, Treasury Notes--Continued:</t>
  </si>
  <si>
    <t>1-1/4</t>
  </si>
  <si>
    <t>912827  U83</t>
  </si>
  <si>
    <t>Airport and Airway Trust Fund......................................................................................................................................</t>
  </si>
  <si>
    <t>Albanian Claims Fund, Treasury Department.......................................................................................................................</t>
  </si>
  <si>
    <t>GG6</t>
  </si>
  <si>
    <t>Sept. 30, 2002</t>
  </si>
  <si>
    <r>
      <t xml:space="preserve">Unamortized Discount  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..................................................................................…</t>
    </r>
  </si>
  <si>
    <r>
      <t xml:space="preserve">Guaranteed Debt of Government Agencies  </t>
    </r>
    <r>
      <rPr>
        <vertAlign val="superscript"/>
        <sz val="14"/>
        <rFont val="Arial"/>
        <family val="2"/>
      </rPr>
      <t>3</t>
    </r>
  </si>
  <si>
    <t>URANIUM ENRICHMENT AND DECOMMISSIONING FUND, DEPARTMENT OF ENERGY</t>
  </si>
  <si>
    <t>89X5231</t>
  </si>
  <si>
    <t>UTAH RECLAMATION MITIGATION AND CONSERVATION ACCOUNT, INTERIOR</t>
  </si>
  <si>
    <t>14X5174</t>
  </si>
  <si>
    <t>VACCINE INJURY COMPENSATION TRUST FUND</t>
  </si>
  <si>
    <t>20X8175</t>
  </si>
  <si>
    <t>VETERANS REOPENED INSURANCE FUND</t>
  </si>
  <si>
    <t>36X4010</t>
  </si>
  <si>
    <t>VETERANS SPECIAL LIFE INSURANCE FUND, TRUST REVOLVING FUND, DEPARTMENT OF VETERANS AFFAIRS</t>
  </si>
  <si>
    <t>36X8455</t>
  </si>
  <si>
    <t>VIETNAM CLAIMS FUND, FINANCIAL MANAEMENT SERVICE</t>
  </si>
  <si>
    <t>20X6315</t>
  </si>
  <si>
    <t>VOLUNTARY SEPARATION INCENTIVE FUND, DEFENSE</t>
  </si>
  <si>
    <t>97X8335</t>
  </si>
  <si>
    <t>Total Government Account Series - Intragovernmental Holdings.......................................................................................................................................................................................</t>
  </si>
  <si>
    <t>after, bonds presented for payment prior to age 59-1/2 years carry a penalty except in case of death or disability or upon "roll-over" to other authorized investments.</t>
  </si>
  <si>
    <t>United States Enrichment Corporation Fund......................................................................................................................................…</t>
  </si>
  <si>
    <t>11/30-05/31</t>
  </si>
  <si>
    <t>12/31-06/30</t>
  </si>
  <si>
    <t>08/15-02/15</t>
  </si>
  <si>
    <t>11/15-05/15</t>
  </si>
  <si>
    <t>08/31-02/29</t>
  </si>
  <si>
    <t>10/15-04/15</t>
  </si>
  <si>
    <t>National Institutes of Health Unconditional Gift Fund...............................................................................................…</t>
  </si>
  <si>
    <t>Guarantees of Mortgage-Backed Securities Fund, Government National</t>
  </si>
  <si>
    <t>BW2</t>
  </si>
  <si>
    <t>Harbor Maintenance Trust Fund............................................................................................................................................</t>
  </si>
  <si>
    <t>Veterans Reopened Insurance Fund...........................................................................................................................</t>
  </si>
  <si>
    <t>Veterans Special Life Insurance Fund, Trust Revolving Fund, Department of</t>
  </si>
  <si>
    <t xml:space="preserve">  FA1</t>
  </si>
  <si>
    <t>Vietnam Claims Fund, Financial Management Service....................................................................................................</t>
  </si>
  <si>
    <t>Voluntary Separation Incentive Fund, Defense..........................................................................................................................</t>
  </si>
  <si>
    <t>War-Risk Insurance Revolving Fund, Maritime Administration......................................................................................</t>
  </si>
  <si>
    <t>CG6</t>
  </si>
  <si>
    <t>DZ7</t>
  </si>
  <si>
    <t>EA1</t>
  </si>
  <si>
    <t>6T4</t>
  </si>
  <si>
    <t>FP8</t>
  </si>
  <si>
    <t>3</t>
  </si>
  <si>
    <t>Marketing Services, Agricultural Marketing Service..................................................................................................................................................…</t>
  </si>
  <si>
    <t>Department of Defense Military Retirement Fund.......................................................................................................</t>
  </si>
  <si>
    <t>Department of the Air Force General Gift Fund...........................................................................................................</t>
  </si>
  <si>
    <t>National Security Education Trust Fund..................................................................................................................…</t>
  </si>
  <si>
    <t>National Service Life Insurance Fund, Department of Veterans Affairs..............................................................…</t>
  </si>
  <si>
    <t>National Service Trust, Corporation for National and Community Services.............................................................…</t>
  </si>
  <si>
    <t>By the Public</t>
  </si>
  <si>
    <t>Social Security Equivalent Benefit Account, Railroad Retirement Board..........................................................................................…</t>
  </si>
  <si>
    <t>Sept. 30, 2003</t>
  </si>
  <si>
    <t>912827  V82</t>
  </si>
  <si>
    <t>912828  BJ8</t>
  </si>
  <si>
    <t>02/29-08/31</t>
  </si>
  <si>
    <t>BK5</t>
  </si>
  <si>
    <t>3-1/8</t>
  </si>
  <si>
    <t>03/15-09/15</t>
  </si>
  <si>
    <t>JG3</t>
  </si>
  <si>
    <t>JF5</t>
  </si>
  <si>
    <t>James Madison Memorial Fellowship Foundation Fund.....................................................................................................</t>
  </si>
  <si>
    <t xml:space="preserve">Japan-United States Friendship Trust Fund, Japan-United States </t>
  </si>
  <si>
    <t>Redeemable at any time effective with the 1984 Tax Reform Act.  The redemption proceeds should be reported as income unless reinvested into an individual</t>
  </si>
  <si>
    <t>retirement plan or an employee plan qualified under Section 401 of the Internal Revenue Code.</t>
  </si>
  <si>
    <t>Excludes $25 million United States Notes issued prior to July 1, 1929, determined pursuant to Act of June 30, 1961, 31 U.S.C. 5119, to have been destroyed or</t>
  </si>
  <si>
    <t>Contributions, American Battle Monuments Commission..........................................................................................</t>
  </si>
  <si>
    <t>Notes.......................................................................................…</t>
  </si>
  <si>
    <r>
      <t>Bonds</t>
    </r>
    <r>
      <rPr>
        <sz val="14"/>
        <rFont val="Arial"/>
        <family val="2"/>
      </rPr>
      <t>......................................................................................</t>
    </r>
  </si>
  <si>
    <t>Court of Veterans Appeals Retirement Fund.............................................................................................................................................</t>
  </si>
  <si>
    <t>Pursuant to 31 U.S.C. 3101(b).  By Act of May 27, 2003, Public Law 108-24, the Statutory Debt Limit was permanently increased to $7,384,000 million.</t>
  </si>
  <si>
    <t>Federal Hospital Insurance Trust Fund.......................................................................................................................</t>
  </si>
  <si>
    <t xml:space="preserve">FHA - General and Special Risk Insurance Fund, Liquidating Account, </t>
  </si>
  <si>
    <t>DV6</t>
  </si>
  <si>
    <t>QY0</t>
  </si>
  <si>
    <t>Harry S. Truman Memorial Scholarship Trust Fund, Harry S. Truman</t>
  </si>
  <si>
    <t>GC5</t>
  </si>
  <si>
    <t>Highway Trust Fund.......................................................................................................................................................</t>
  </si>
  <si>
    <t>Prison Industries Fund, Department of Justice......................................................................................................................…</t>
  </si>
  <si>
    <t>Not Subject to the Statutory Debt Limit:</t>
  </si>
  <si>
    <t>MATURITIES:</t>
  </si>
  <si>
    <t>f</t>
  </si>
  <si>
    <t>Coast Guard General Gift Fund..........................................................................................................................................…</t>
  </si>
  <si>
    <t>HY6</t>
  </si>
  <si>
    <t>State and Local Government Series:</t>
  </si>
  <si>
    <t>Treasury Time Deposit  - Certificates</t>
  </si>
  <si>
    <t xml:space="preserve">  of Indebtedness (Various rates)............................................</t>
  </si>
  <si>
    <t xml:space="preserve"> At maturity</t>
  </si>
  <si>
    <t>Treasury Time Deposit - Notes</t>
  </si>
  <si>
    <t>Panama Canal Commission Compensation Fund......................................................................................................</t>
  </si>
  <si>
    <t>Payments to Copyright Owners, Copyright Office, Library of Congress................................................................</t>
  </si>
  <si>
    <t>912828  AQ3</t>
  </si>
  <si>
    <t>AR1</t>
  </si>
  <si>
    <t>912827  S86</t>
  </si>
  <si>
    <t>1-3/4</t>
  </si>
  <si>
    <t>HM2</t>
  </si>
  <si>
    <t>basis (360 days a year) as indicated.  Effective November 10, 1997,  three decimal bidding, in .005 percent increments, is required for regular Treasury Bill</t>
  </si>
  <si>
    <t>BL3</t>
  </si>
  <si>
    <t>JH1</t>
  </si>
  <si>
    <t>Pension Benefit Guaranty Corporation..........................................................................................................................</t>
  </si>
  <si>
    <t>QX2</t>
  </si>
  <si>
    <t>Aviation Insurance Revolving Fund..................................................................................................................................…</t>
  </si>
  <si>
    <t>07/31-01/31</t>
  </si>
  <si>
    <t>7J5</t>
  </si>
  <si>
    <t>BC3</t>
  </si>
  <si>
    <t>912828  BB5</t>
  </si>
  <si>
    <t>HZ3</t>
  </si>
  <si>
    <t xml:space="preserve">    National Credit Union Administration.................................................................................................................................................................…</t>
  </si>
  <si>
    <t>GT8</t>
  </si>
  <si>
    <t>Nuclear Waste Disposal Fund, Department of Energy..............................................................................................................................</t>
  </si>
  <si>
    <t>6X5</t>
  </si>
  <si>
    <t>912828  AV2</t>
  </si>
  <si>
    <t>1-1/2</t>
  </si>
  <si>
    <t>HS9</t>
  </si>
  <si>
    <t>Leaking Underground Storage Tank Trust Fund..................................................................................................................</t>
  </si>
  <si>
    <t>Library of Congress Trust Fund.......................................................................................................................................</t>
  </si>
  <si>
    <t>7B2</t>
  </si>
  <si>
    <t>GL5</t>
  </si>
  <si>
    <t>Morris K. Udall Scholarship and Excellence in National Environmental</t>
  </si>
  <si>
    <t>Natural Resource Damage Assessment and Restoration Fund, U.S. Fish</t>
  </si>
  <si>
    <t>United States Savings Stamp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</si>
  <si>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Seized Assets Fund, Justice.............................................................................................................................................................................................................…</t>
  </si>
  <si>
    <t>Government Account Series..................................................................................…</t>
  </si>
  <si>
    <t>Other..................................................................................…</t>
  </si>
  <si>
    <t>Open World Leadership Center Trust Fund......................................................................................................................................................................................................................................…….</t>
  </si>
  <si>
    <t>BH2</t>
  </si>
  <si>
    <t>912828  BF6</t>
  </si>
  <si>
    <t>2-3/8</t>
  </si>
  <si>
    <t>BG4</t>
  </si>
  <si>
    <t>JE8</t>
  </si>
  <si>
    <t>JC2</t>
  </si>
  <si>
    <t>JD0</t>
  </si>
  <si>
    <t>JULY 31, 2004</t>
  </si>
  <si>
    <t>TABLE I -- SUMMARY OF TREASURY SECURITIES OUTSTANDING, JULY 31, 2004</t>
  </si>
  <si>
    <t>TABLE II -- STATUTORY DEBT LIMIT, JULY 31, 2004</t>
  </si>
  <si>
    <r>
      <t xml:space="preserve">TABLE III - DETAIL OF </t>
    </r>
    <r>
      <rPr>
        <b/>
        <sz val="12"/>
        <rFont val="Arial"/>
        <family val="2"/>
      </rPr>
      <t xml:space="preserve">TREASURY SECURITIES </t>
    </r>
    <r>
      <rPr>
        <b/>
        <sz val="12"/>
        <rFont val="Arial"/>
        <family val="0"/>
      </rPr>
      <t>OUTSTANDING, JULY 31, 2004</t>
    </r>
  </si>
  <si>
    <r>
      <t xml:space="preserve">TABLE III - DETAIL OF </t>
    </r>
    <r>
      <rPr>
        <b/>
        <sz val="12"/>
        <rFont val="Arial"/>
        <family val="2"/>
      </rPr>
      <t xml:space="preserve">TREASURY SECURITIES </t>
    </r>
    <r>
      <rPr>
        <b/>
        <sz val="12"/>
        <rFont val="Arial"/>
        <family val="0"/>
      </rPr>
      <t>OUTSTANDING, JULY 31, 2004 -- Continued</t>
    </r>
  </si>
  <si>
    <t>TABLE IV - HISTORICAL DATA, JULY 31, 2004</t>
  </si>
  <si>
    <t>TABLE V - HOLDINGS OF TREASURY SECURITIES IN STRIPPED FORM, JULY 31, 2004</t>
  </si>
  <si>
    <t>TABLE V - HOLDINGS OF TREASURY SECURITIES IN STRIPPED FORM, JULY 31, 2004 -- Continued</t>
  </si>
  <si>
    <t>MONTHLY STATEMENT OF THE PUBLIC DEBT OF THE UNITED STATES JULY 31, 2004 - FOOTNOTES</t>
  </si>
  <si>
    <t xml:space="preserve">   Friendship Commission..................................................................................................................................................................................................................................................</t>
  </si>
  <si>
    <t>Lincoln County Land Act................................................................................................................................................................................................................................................................................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</si>
  <si>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W81</t>
  </si>
  <si>
    <t>912828  BS8</t>
  </si>
  <si>
    <t>JP3</t>
  </si>
  <si>
    <t>BU3</t>
  </si>
  <si>
    <t>JR9</t>
  </si>
  <si>
    <t>BT6</t>
  </si>
  <si>
    <t>06/15-12/15</t>
  </si>
  <si>
    <t>JQ1</t>
  </si>
  <si>
    <t>Assessment Funds, Office of the Comptroller of the Currency...........................................................………….......................</t>
  </si>
  <si>
    <t>United States Savings Securities..................................................................................…</t>
  </si>
  <si>
    <t>NATIONAL SERVICE TRUST, CORPORATION FOR NATIONAL AND COMMUNITY SERVICES</t>
  </si>
  <si>
    <t>95X8267</t>
  </si>
  <si>
    <t>Total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</si>
  <si>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Nonmarketable.......................................................................................................................................................................................................</t>
  </si>
  <si>
    <t>PUBLIC HEALTH SERVICE CONDITIONAL GIFT FUND, HEALTH RESOURCES AND SERVICES ADMINISTRATION</t>
  </si>
  <si>
    <t>75X8254</t>
  </si>
  <si>
    <t>RAILROAD RETIREMENT ACCOUNT</t>
  </si>
  <si>
    <t>60X8011</t>
  </si>
  <si>
    <t>RELIEF AND REHABILITATION, LONGSHOREMEN'S AND HARBOR WORKERS' COMPENSATION ACT, AS AMENDED, DEPARTMENT OF L</t>
  </si>
  <si>
    <t>16X8130</t>
  </si>
  <si>
    <t>RELIEF AND REHABILITIATION, WORKMEN'S COMPENSATION ACT, WITHIN THE DISTRICT OF COLUMBIA, DEPARTMENT OF LABO</t>
  </si>
  <si>
    <t>16X8134</t>
  </si>
  <si>
    <t>RETIRED EMPLOYEES' HEALTH BENEFITS FUND, OFFICE OF PERSONNEL MANAGEMENT</t>
  </si>
  <si>
    <t>24X8445</t>
  </si>
  <si>
    <t>REVOLVING FUND FOR ADMINISTRATIVE EXPENSE, FARM CREDIT ADMINISTRATION</t>
  </si>
  <si>
    <t>78X4131</t>
  </si>
  <si>
    <t>09X8148</t>
  </si>
  <si>
    <t>OPERATING FUND, NATIONAL CREDIT UNION ADMINISTRATION</t>
  </si>
  <si>
    <t>25X4056</t>
  </si>
  <si>
    <t>Treasury Inflation-Protected Securities:</t>
  </si>
  <si>
    <t>Total Treasury Inflation-Protected Securities...............................................................................…</t>
  </si>
  <si>
    <t>Total Marketable...........................................................................................................................................…</t>
  </si>
  <si>
    <t xml:space="preserve">  Veterans Affair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</si>
  <si>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BD1</t>
  </si>
  <si>
    <t xml:space="preserve"> BD1</t>
  </si>
  <si>
    <t>JA6</t>
  </si>
  <si>
    <t>912827  2U5</t>
  </si>
  <si>
    <t>MARITIME GUARANTEED LOAN ESCROW FUND</t>
  </si>
  <si>
    <t>69X6040</t>
  </si>
  <si>
    <t>PAYMENTS OF ALLEGED VIOLATORS OF DEPARTMENT OF ENERGY REGULATIONS, DEPARTMENT OF ENERGY</t>
  </si>
  <si>
    <t>89X6425</t>
  </si>
  <si>
    <t>SEIZED ASSETS FUND, JUSTICE</t>
  </si>
  <si>
    <t>15X6874</t>
  </si>
  <si>
    <t>SMITHSONIAN ENDOWMENT FUND, SMITHSONIAN INSTITUTION</t>
  </si>
  <si>
    <t>33X62201</t>
  </si>
  <si>
    <t>SPECIAL INVESTMENT ACCOUNT</t>
  </si>
  <si>
    <t>95X6167</t>
  </si>
  <si>
    <t>THRIFT SAVINGS FUND, FEDERAL RETIREMENT THRIFT INVESTMENT BOARD</t>
  </si>
  <si>
    <t>26X6153</t>
  </si>
  <si>
    <t>TREASURY DEPOSIT FUNDS</t>
  </si>
  <si>
    <t>20X6420</t>
  </si>
  <si>
    <t>UNEARNED COPYRIGHT FEES, LIBRARY OF CONGRESS</t>
  </si>
  <si>
    <t>03X6206</t>
  </si>
  <si>
    <t>WAGE AND HOUR AND PUBLIC CONTRACTS RESTITUTION FUND, LABOR</t>
  </si>
  <si>
    <t>16X6507</t>
  </si>
  <si>
    <t>ABANDONED MINES RECLAMATION FUND, OFFICE OF SURFACE MINING RECLAMATION AND ENFORCEMENT</t>
  </si>
  <si>
    <t>14X5015</t>
  </si>
  <si>
    <t>AIRPORT AND AIRWAY TRUST FUND</t>
  </si>
  <si>
    <t>20X8103</t>
  </si>
  <si>
    <t>ALBANIAN CLAIMS FUND, TREASURY DEPARTMENT</t>
  </si>
  <si>
    <t>20X6104</t>
  </si>
  <si>
    <t>AQUATIC RESOURCES TRUST FUND</t>
  </si>
  <si>
    <t>20X81472</t>
  </si>
  <si>
    <t>ARMED FORCES RETIREMENT HOME TRUST FUND</t>
  </si>
  <si>
    <t>84X8522</t>
  </si>
  <si>
    <t>ASSESSMENT FUNDS, OFFICE OF THE COMPTROLLER OF THE CURRENCY</t>
  </si>
  <si>
    <t>20X8413</t>
  </si>
  <si>
    <t>ASSETS FORFEITRUE FUND, JUSTICE</t>
  </si>
  <si>
    <t>15X5042</t>
  </si>
  <si>
    <t>AVIATION INSURANCE REVOLVING FUND</t>
  </si>
  <si>
    <t>69X41201</t>
  </si>
  <si>
    <t>BANK INSURANCE FUND, THE</t>
  </si>
  <si>
    <t>51X4064</t>
  </si>
  <si>
    <t>BELIZE ESCROW, DEBT REDUCTION, TREASURY</t>
  </si>
  <si>
    <t>20X6317</t>
  </si>
  <si>
    <t>70X8244</t>
  </si>
  <si>
    <t>Employees' Health Benefits Fund, Office of Personnel Management..................................................................................................................................................................…</t>
  </si>
  <si>
    <t>912800 AA7</t>
  </si>
  <si>
    <t>912803 AA1</t>
  </si>
  <si>
    <t>AC7</t>
  </si>
  <si>
    <t>AE3</t>
  </si>
  <si>
    <t>AF0</t>
  </si>
  <si>
    <t>AH6</t>
  </si>
  <si>
    <t>AK9</t>
  </si>
  <si>
    <t>AL7</t>
  </si>
  <si>
    <t>AM5</t>
  </si>
  <si>
    <t>Revolving Fund for Administrative Expense, Farm Credit Administration................................................................................................................................................................................…</t>
  </si>
  <si>
    <t>Bank Insurance Fund, The............................................................................................................................................................................................…</t>
  </si>
  <si>
    <t>District of Columbia Pension Liability Trust Fund.............................................................................................................................................</t>
  </si>
  <si>
    <t>Patients Benefit Fund, National Institutes of Health..........................................................................................................................................................................................................................…</t>
  </si>
  <si>
    <t>Power Systems, Indian Irrigation Projects, Bureau of Indian Affairs...........................................................................................................................................…</t>
  </si>
  <si>
    <t xml:space="preserve">   Housing and Urban Development............................................................................................................................................................…</t>
  </si>
  <si>
    <t>3-1/4</t>
  </si>
  <si>
    <t>Includes $33,250 million of 2-1/4% Treasury Notes Series Q and $584 million of Government Account Series which matured Sunday, July 31,2004.</t>
  </si>
  <si>
    <t>Railroad Retirement Account......................................................................................................................................................................................................................................…….</t>
  </si>
  <si>
    <t>912828  AC4</t>
  </si>
  <si>
    <t>912827  3E0</t>
  </si>
  <si>
    <t>4-3/8</t>
  </si>
  <si>
    <t>GZ4</t>
  </si>
  <si>
    <t>912828 AF7</t>
  </si>
  <si>
    <t>07/15-01/15</t>
  </si>
  <si>
    <t>912828  AY6</t>
  </si>
  <si>
    <t>912827  Y55</t>
  </si>
  <si>
    <t>912828  AZ3</t>
  </si>
  <si>
    <t>2-5/8</t>
  </si>
  <si>
    <t>912827  4V1</t>
  </si>
  <si>
    <t>BA7</t>
  </si>
  <si>
    <t>Treasury Demand Deposit..................</t>
  </si>
  <si>
    <t>Daily</t>
  </si>
  <si>
    <t>SCIENCE, SPACE AND TECHNOLOGY EDUCATION TRUST FUND, NATIONAL AERONAUTICS AND SPACE ADMINISTRATION</t>
  </si>
  <si>
    <t>80X8978</t>
  </si>
  <si>
    <t>SEIZED CURRENCY, UNITED STATES CUSTOMS SERVICE</t>
  </si>
  <si>
    <t>20X6511</t>
  </si>
  <si>
    <t>00X5509</t>
  </si>
  <si>
    <t>SERVICEMEN'S GROUP LIFE INSURANCE FUND</t>
  </si>
  <si>
    <t>36X4009</t>
  </si>
  <si>
    <t>SOCIAL SECURITY EQUIVALENT BENEFIT ACCOUNT, RAILROAD RETIREMENT BOARD</t>
  </si>
  <si>
    <t>60X8010</t>
  </si>
  <si>
    <t>SOUTH DAKOTA TERRESTRIAL WILDLIFE HABITAT RESTORATION TRUST FUND</t>
  </si>
  <si>
    <t>96X8217</t>
  </si>
  <si>
    <t>AN3</t>
  </si>
  <si>
    <t>AP8</t>
  </si>
  <si>
    <t>AQ6</t>
  </si>
  <si>
    <t>AR4</t>
  </si>
  <si>
    <t>AS2</t>
  </si>
  <si>
    <t>AT0</t>
  </si>
  <si>
    <t>AU7</t>
  </si>
  <si>
    <t>Bequests of Major General Fred C. Ainsworth, Library, Walter Reed</t>
  </si>
  <si>
    <t>Cheyenne River Sioux Tribe Terrestrial Wildlife Habitat Restoration</t>
  </si>
  <si>
    <t>Lower Brule Sioux Tribe Terrestrial Wildlife Habitat Restoration Trust Fund.........................................................................................</t>
  </si>
  <si>
    <t>AV5</t>
  </si>
  <si>
    <t>AW3</t>
  </si>
  <si>
    <t>AX1</t>
  </si>
  <si>
    <t>AY9</t>
  </si>
  <si>
    <t>AZ6</t>
  </si>
  <si>
    <t>BA0</t>
  </si>
  <si>
    <t>BB8</t>
  </si>
  <si>
    <t>BC6</t>
  </si>
  <si>
    <t>BD4</t>
  </si>
  <si>
    <t>BE2</t>
  </si>
  <si>
    <t>BF9</t>
  </si>
  <si>
    <t>BG7</t>
  </si>
  <si>
    <t>BH5</t>
  </si>
  <si>
    <t>BJ1</t>
  </si>
  <si>
    <t>BK8</t>
  </si>
  <si>
    <t>BL6</t>
  </si>
  <si>
    <t>BM4</t>
  </si>
  <si>
    <t>BP7</t>
  </si>
  <si>
    <t>BV4</t>
  </si>
  <si>
    <t>Seized Currency, United States Customs Service.........................................................................................................................</t>
  </si>
  <si>
    <t>BL0</t>
  </si>
  <si>
    <t>BM8</t>
  </si>
  <si>
    <t>BN6</t>
  </si>
  <si>
    <t>BP1</t>
  </si>
  <si>
    <t>BQ9</t>
  </si>
  <si>
    <t>BR7</t>
  </si>
  <si>
    <t>BS5</t>
  </si>
  <si>
    <t>BT3</t>
  </si>
  <si>
    <t>BU0</t>
  </si>
  <si>
    <t>BW6</t>
  </si>
  <si>
    <t>BX4</t>
  </si>
  <si>
    <t>CA3</t>
  </si>
  <si>
    <t>CQ8</t>
  </si>
  <si>
    <t>CY1</t>
  </si>
  <si>
    <t>DK0</t>
  </si>
  <si>
    <t>CL9</t>
  </si>
  <si>
    <t xml:space="preserve">  Grand Total...................................................................................................................................</t>
  </si>
  <si>
    <t>*</t>
  </si>
  <si>
    <t>Represents the unamortized discount on Treasury Bills and zero-coupon Treasury Bonds.</t>
  </si>
  <si>
    <t>Trust Fund, The Barry Goldwater Scholarship and Excellence in Education Fund......................................................................................................................................................</t>
  </si>
  <si>
    <t>Marketable, Continued:</t>
  </si>
  <si>
    <t>Total Other Debt................................................................................................................................................................................................................................................</t>
  </si>
  <si>
    <t>Debt Held by the Public.....................................................................................................................…</t>
  </si>
  <si>
    <t>General Post Fund, National Homes, Department of Veterans Affairs....................................................................................................................………</t>
  </si>
  <si>
    <t>Gifts and Donations, National Endowment of the Arts..................................................................................................................</t>
  </si>
  <si>
    <t>BEQUESTS OF MAJOR GENERAL FRED C. AINSWORTH, LIBRARY, WALTER REED GENERAL HOSPITAL</t>
  </si>
  <si>
    <t>21X8063</t>
  </si>
  <si>
    <t>Intragovernmental Holdings.....................................................................................................................…</t>
  </si>
  <si>
    <t>Total Public Debt Outstanding.....................................................................................................................…</t>
  </si>
  <si>
    <t>Government Account Series - Held By the Public..........................................................................................................…</t>
  </si>
  <si>
    <t xml:space="preserve">    Trust Fund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…</t>
  </si>
  <si>
    <t>HE0</t>
  </si>
  <si>
    <t>912827  3X8</t>
  </si>
  <si>
    <t>912828  AJ9</t>
  </si>
  <si>
    <t>HF7</t>
  </si>
  <si>
    <t>912827  4F6</t>
  </si>
  <si>
    <t>USAO/ARTEMIS Settlement Account.................................................................................................................................................................…</t>
  </si>
  <si>
    <t>DEPARTMENT OF THE AIR FORCE GENERAL GIFT FUND</t>
  </si>
  <si>
    <t>57X8928</t>
  </si>
  <si>
    <t>DEPARTMENT OF THE ARMY GENERAL GIFT FUND</t>
  </si>
  <si>
    <t>21X8927</t>
  </si>
  <si>
    <t>DEPARTMENT OF THE NAVY GENERAL GIFT FUND</t>
  </si>
  <si>
    <t>17X8716</t>
  </si>
  <si>
    <t>20X8212</t>
  </si>
  <si>
    <t>Energy Employees Occupational Illness Compensation Fund.................................................................................................................................................................…</t>
  </si>
  <si>
    <t>INSPECTION AND GRADING OF FISHERY PRODUCTS, DEPARTMENT OF COMMERCE</t>
  </si>
  <si>
    <t>13X6541</t>
  </si>
  <si>
    <t>********************</t>
  </si>
  <si>
    <t>FISHERMEN'S CONTINGENCY FUND, NATIONAL OCEANIC AND ATMOSPHERIC ADMINISTRATION</t>
  </si>
  <si>
    <t>13X5120</t>
  </si>
  <si>
    <t>FOREIGN FISHING OBSERVER FUND, NATIONAL OCEANIC AND ATMOSPHERIC ADMINISTRATION</t>
  </si>
  <si>
    <t>13X5122</t>
  </si>
  <si>
    <t>RUSSIAN LEADERSHIP DEVELOPMENT TRUST FUND</t>
  </si>
  <si>
    <t xml:space="preserve">Funds Held by the Public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</si>
  <si>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Funds held by the Government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</si>
  <si>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Matured Government Account Series - Held By the Public 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..........................................................................................................…</t>
    </r>
  </si>
  <si>
    <t>Total Government Account Series - Held By the Public..........................................................................................................…</t>
  </si>
  <si>
    <t>Inspection and Grading of Fishery Products, Department of Commerce.....................................................................................................................................…</t>
  </si>
  <si>
    <t>Fishermen's Contingency Fund, National Oceanic and Atmospheric Administration............................................................................................................................................................…</t>
  </si>
  <si>
    <t>Foreign Fishing Observer Fund, National Oceanic and Atmosheric Administration............................................................................................................................................................…</t>
  </si>
  <si>
    <t>EXPENSES AND REFUNDS, INSPECTION AND GRADING OF FARM PRODUCTS, AGRICULTURAL MARKETING SERVICE</t>
  </si>
  <si>
    <t>12X8015</t>
  </si>
  <si>
    <t>R.E.A. Series..................................................................................…</t>
  </si>
  <si>
    <t>State and Local Government Series..................................................................................…</t>
  </si>
  <si>
    <t>Assets Forfeiture Fund, Justice......................................................................................................................................</t>
  </si>
  <si>
    <t>United States Savings Securities:</t>
  </si>
  <si>
    <t>United States Savings Bonds:</t>
  </si>
  <si>
    <t>United States Trustee System Fund, Justice..........................................................................................................................</t>
  </si>
  <si>
    <t>1-1/8</t>
  </si>
  <si>
    <t>7L0</t>
  </si>
  <si>
    <t>4-7/8</t>
  </si>
  <si>
    <t>GV3</t>
  </si>
  <si>
    <t>AX8</t>
  </si>
  <si>
    <t>HU4</t>
  </si>
  <si>
    <t>Public Health Service Conditional Gift Fund, Health Resources and Services</t>
  </si>
  <si>
    <t>Relief and Rehabilitation, Longshoremen's and Harbor Workers' Compensation</t>
  </si>
  <si>
    <t>Relief and Rehabilitation, Workmen's Compensation Act, within the District of</t>
  </si>
  <si>
    <t>Total Public Debt Outstanding...............................................................................................................................................……………</t>
  </si>
  <si>
    <t>GIFTS TO REDUCE DEBT HELD BY THE PUBLIC:</t>
  </si>
  <si>
    <t>Tax Court Judges Survivors Annuity Fund.............................................................................................................................</t>
  </si>
  <si>
    <t>912810  DK1</t>
  </si>
  <si>
    <t>RK9</t>
  </si>
  <si>
    <t>RL7</t>
  </si>
  <si>
    <t>RM5</t>
  </si>
  <si>
    <t>RN3</t>
  </si>
  <si>
    <t>CG3</t>
  </si>
  <si>
    <t>912828  CH1</t>
  </si>
  <si>
    <t>912827  5N8</t>
  </si>
  <si>
    <t>CJ7</t>
  </si>
  <si>
    <t>KD8</t>
  </si>
  <si>
    <t>KE6</t>
  </si>
  <si>
    <t>KF3</t>
  </si>
  <si>
    <t>Treasury Forfeiture Fund.................................................................................................................................................</t>
  </si>
  <si>
    <t>United States Naval Academy General Gift Fund......................................................................................................</t>
  </si>
  <si>
    <t>Israeli Arab Scholarship Program, United States Information Agency.............................................................….</t>
  </si>
  <si>
    <t>912820 BV8</t>
  </si>
  <si>
    <t xml:space="preserve">     Office of Personnel Management.................................................................................................................................................................…</t>
  </si>
  <si>
    <t>Custodial Tribal Fund, Office of the Special Trustee for American Indians...............................................................................…</t>
  </si>
  <si>
    <t>Zero-coupon Treasury Bond ........................................</t>
  </si>
  <si>
    <t>Zero-coupon Treasury Bond (A).....................................</t>
  </si>
  <si>
    <t>Zero-coupon Treasury Bond (B)........................................</t>
  </si>
  <si>
    <t>Zero-coupon Treasury Bond....................................</t>
  </si>
  <si>
    <t>15X6118</t>
  </si>
  <si>
    <t>FEDERAL HOUSING ADMINISTRATION - FLEXIBLE SUBSIDE FUND, HOUSING PROGRAMS, HOUSING AND URBAN DEVELOPMENT</t>
  </si>
  <si>
    <t>86X4044</t>
  </si>
  <si>
    <t>FEDERAL HOUSING ADMINISTRATION - HOMEOWNER ASSISTANCE FUND, HOUSING PROGRAMS, HOUSING AND URBAN DEVELOPMENT</t>
  </si>
  <si>
    <t>86X4043</t>
  </si>
  <si>
    <t xml:space="preserve">FHA- Homeowner Assistance Fund, Housing Programs, </t>
  </si>
  <si>
    <t xml:space="preserve">FHA- Flexible Subside Fund, Housing Programs, </t>
  </si>
  <si>
    <t>Overseas Private Investment Corporation, Insurance and Equity Non Credit</t>
  </si>
  <si>
    <t>Native American Institutions Endowment Fund.......................................................................................................................................................................................................................................…</t>
  </si>
  <si>
    <t xml:space="preserve">   and Wildlife Service, Interior..........................................................................................................................................................................................................................................................</t>
  </si>
  <si>
    <t>Operation and Maintenance, Indian Irrigation Systems, Bureau of Indian Affairs...........................................................................................................................................................</t>
  </si>
  <si>
    <t>4Y5</t>
  </si>
  <si>
    <t>Fiscal Year 2004 to Date</t>
  </si>
  <si>
    <t xml:space="preserve">   Act, as amended, Department of Labor................................................................................................................................................................................................................……….</t>
  </si>
  <si>
    <t xml:space="preserve">   Columbia, Department of Labor.............................................................................................................................................................................................................................……….</t>
  </si>
  <si>
    <t>Armed Forces Retirement Home Trust Fund.................................................................................................................................…</t>
  </si>
  <si>
    <t>FH6</t>
  </si>
  <si>
    <t>912810 DM7</t>
  </si>
  <si>
    <t>DU9</t>
  </si>
  <si>
    <t>DN5</t>
  </si>
  <si>
    <t>DP0</t>
  </si>
  <si>
    <t>DX3</t>
  </si>
  <si>
    <t>EA2</t>
  </si>
  <si>
    <t>EJ3</t>
  </si>
  <si>
    <t>EP9</t>
  </si>
  <si>
    <t>EY0</t>
  </si>
  <si>
    <t>FX0</t>
  </si>
  <si>
    <t>CK7</t>
  </si>
  <si>
    <r>
      <t xml:space="preserve">Statutory Debt Limit  </t>
    </r>
    <r>
      <rPr>
        <vertAlign val="superscript"/>
        <sz val="14"/>
        <rFont val="Arial"/>
        <family val="2"/>
      </rPr>
      <t>4</t>
    </r>
    <r>
      <rPr>
        <sz val="14"/>
        <rFont val="Arial"/>
        <family val="2"/>
      </rPr>
      <t>.......................................................................................................................................................................…....................................................................................................</t>
    </r>
  </si>
  <si>
    <t>5  d</t>
  </si>
  <si>
    <t xml:space="preserve">  6   e</t>
  </si>
  <si>
    <t>6  e</t>
  </si>
  <si>
    <t>10 e</t>
  </si>
  <si>
    <t>12  e</t>
  </si>
  <si>
    <r>
      <t xml:space="preserve">        This Month </t>
    </r>
    <r>
      <rPr>
        <vertAlign val="superscript"/>
        <sz val="12"/>
        <rFont val="Arial"/>
        <family val="2"/>
      </rPr>
      <t>17</t>
    </r>
  </si>
  <si>
    <t xml:space="preserve">  BW9</t>
  </si>
  <si>
    <t>BV1</t>
  </si>
  <si>
    <t>JS7</t>
  </si>
  <si>
    <t>BW9</t>
  </si>
  <si>
    <t>JT5</t>
  </si>
  <si>
    <t>Total Treasury Bonds...............................................................................…</t>
  </si>
  <si>
    <t>Christopher Columbus Scholarship Fund, Christopher Columbus</t>
  </si>
  <si>
    <t>Iranian Claims Settlement Fund, Treasury Department....................................................................................................................................</t>
  </si>
  <si>
    <t>Federal Old-Age and Survivors Insurance Trust Fund.................................................................................................…</t>
  </si>
  <si>
    <t>National Archives Trust Fund, National Archives and Records Administration...............................................................…</t>
  </si>
  <si>
    <t>Gifts and Donations, National Endowment for the Humanities..................................................................................................................</t>
  </si>
  <si>
    <t>Perishable Agricultural Commodities Act, Agricultural Marketing Service..........................................................................................................................</t>
  </si>
  <si>
    <t>02/15-08/15</t>
  </si>
  <si>
    <t>K</t>
  </si>
  <si>
    <t>5-1/2</t>
  </si>
  <si>
    <t>02/28-08/31</t>
  </si>
  <si>
    <t>L</t>
  </si>
  <si>
    <t>Sept. 30, 2001</t>
  </si>
  <si>
    <t>Sept. 30, 2000</t>
  </si>
  <si>
    <t>COMPILED AND PUBLISHED BY</t>
  </si>
  <si>
    <t>THE BUREAU OF THE PUBLIC DEBT</t>
  </si>
  <si>
    <t>Issue</t>
  </si>
  <si>
    <t>Payable/</t>
  </si>
  <si>
    <t>Interest</t>
  </si>
  <si>
    <t>Amount in Millions of Dollars</t>
  </si>
  <si>
    <t>Loan Description</t>
  </si>
  <si>
    <t>Date</t>
  </si>
  <si>
    <t>Callable</t>
  </si>
  <si>
    <t>Payable</t>
  </si>
  <si>
    <t>Issued</t>
  </si>
  <si>
    <t>FARM CREDIT INSURANCE FUND, CAPITAL CORPORATION INVESTMENT FUND, FARM CREDIT ADMINISTRATION</t>
  </si>
  <si>
    <t>78X4136</t>
  </si>
  <si>
    <t>FEDERAL AID TO WILDLIFE RESTORATION, UNITED STATES FISH AND WILDLIFE SERVICE</t>
  </si>
  <si>
    <t>14X5029</t>
  </si>
  <si>
    <t>FEDERAL DISABILITY INSURANCE TRUST FUND</t>
  </si>
  <si>
    <t>20X8007</t>
  </si>
  <si>
    <t>FEDERAL HOSPITAL INSURANCE TRUST FUND</t>
  </si>
  <si>
    <t>20X8005</t>
  </si>
  <si>
    <t>FEDERAL HOUSING ADMINISTRATION - GENERAL AND SPECIAL RISK INSURANCE FUND, LUQUIDATING ACCOUNT, HOUSING AND</t>
  </si>
  <si>
    <t>86X4072</t>
  </si>
  <si>
    <t>86X02362</t>
  </si>
  <si>
    <t>FEDERAL OLD-AGE AND SURVIVORS INSURANCE TRUST FUND</t>
  </si>
  <si>
    <t>20X8006</t>
  </si>
  <si>
    <t>FEDERAL SUPPLEMENTAL DISTRICT OF COLUMBIA PENSION FUND</t>
  </si>
  <si>
    <t>20X5500</t>
  </si>
  <si>
    <t>FEDERAL SUPPLEMENTARY MEDICAL INSURANCE TRUST FUND</t>
  </si>
  <si>
    <t>20X8004</t>
  </si>
  <si>
    <t>FOREIGN SERVICE RETIREMENT AND DISABILITY FUND</t>
  </si>
  <si>
    <t>19X8186</t>
  </si>
  <si>
    <t>FSLIC RESOLUTION FUND, THE</t>
  </si>
  <si>
    <t>51X4065</t>
  </si>
  <si>
    <t>GENERAL POST FUND, NATIONAL HOMES, DEPARTMENT OF VETERANS AFFAIRS</t>
  </si>
  <si>
    <t>36X8180</t>
  </si>
  <si>
    <t>GERMAN DEMOCRATIC REPUBLIC SETTLEMENT FUND</t>
  </si>
  <si>
    <t>20X6314</t>
  </si>
  <si>
    <t>GIFTS AND BEQUESTS, OFFICE OF THE SECRETARY, DEPARTMENT OF TRANSPORTATION</t>
  </si>
  <si>
    <t>69X8548</t>
  </si>
  <si>
    <t>GIFTS AND BEQUESTS, TREASURY</t>
  </si>
  <si>
    <t>20X8790</t>
  </si>
  <si>
    <t>RESERVE MOBILIZATION INCOME INSURANCE FUND, DEFENSE</t>
  </si>
  <si>
    <t>97X4179</t>
  </si>
  <si>
    <t>Reserve Mobilization Income Insurance Fund, Defense...........................................................................................................................................................................................................................................................……….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</si>
  <si>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Oliver Wendell Holmes Devise Fund, Library of Congress.........................................................................................</t>
  </si>
  <si>
    <t>JJ7</t>
  </si>
  <si>
    <t>Operating Fund, National Credit Union Administration.........................................................................................</t>
  </si>
  <si>
    <t>13-7/8</t>
  </si>
  <si>
    <t>14</t>
  </si>
  <si>
    <t>13-1/4</t>
  </si>
  <si>
    <t>12-1/2</t>
  </si>
  <si>
    <t>11-1/4</t>
  </si>
  <si>
    <t>10-5/8</t>
  </si>
  <si>
    <t xml:space="preserve"> 6N7</t>
  </si>
  <si>
    <t xml:space="preserve"> 912820  BK2</t>
  </si>
  <si>
    <t>912795  QW4</t>
  </si>
  <si>
    <t>Bills 01/06/05..........................................................…</t>
  </si>
  <si>
    <t>912810 FD5</t>
  </si>
  <si>
    <t>912803 BN2</t>
  </si>
  <si>
    <t>Kuukpik Alaska Escrow Fund.................................................................................................................................................................…</t>
  </si>
  <si>
    <t xml:space="preserve">   Department of Energy.................................................................................................................................................................…</t>
  </si>
  <si>
    <t>Smithsonian Endowment Fund, Smithsonian Institution...............................................................................…</t>
  </si>
  <si>
    <t>03/31-09/30</t>
  </si>
  <si>
    <t>6-1/4</t>
  </si>
  <si>
    <t>F</t>
  </si>
  <si>
    <t>7</t>
  </si>
  <si>
    <t>04/15-10/15</t>
  </si>
  <si>
    <t>M</t>
  </si>
  <si>
    <t>6-1/2</t>
  </si>
  <si>
    <t>04/30-10/31</t>
  </si>
  <si>
    <t>B</t>
  </si>
  <si>
    <t>9-1/8</t>
  </si>
  <si>
    <t>05/15-11/15</t>
  </si>
  <si>
    <t>N</t>
  </si>
  <si>
    <t>6-3/4</t>
  </si>
  <si>
    <t>05/31-11/30</t>
  </si>
  <si>
    <t>P</t>
  </si>
  <si>
    <t>6</t>
  </si>
  <si>
    <t>G</t>
  </si>
  <si>
    <t>Q</t>
  </si>
  <si>
    <t>6-7/8</t>
  </si>
  <si>
    <t>C</t>
  </si>
  <si>
    <t>8</t>
  </si>
  <si>
    <t>R</t>
  </si>
  <si>
    <t>S</t>
  </si>
  <si>
    <t>7-1/8</t>
  </si>
  <si>
    <t>H</t>
  </si>
  <si>
    <t>T</t>
  </si>
  <si>
    <t>7-1/2</t>
  </si>
  <si>
    <t>5-5/8</t>
  </si>
  <si>
    <t>D</t>
  </si>
  <si>
    <t>7-7/8</t>
  </si>
  <si>
    <t>U</t>
  </si>
  <si>
    <t>5-3/8</t>
  </si>
  <si>
    <t>8-1/2</t>
  </si>
  <si>
    <t>6-1/8</t>
  </si>
  <si>
    <t>8-3/4</t>
  </si>
  <si>
    <t>5-1/4</t>
  </si>
  <si>
    <t>6-5/8</t>
  </si>
  <si>
    <t>4-1/4</t>
  </si>
  <si>
    <t>7-1/4</t>
  </si>
  <si>
    <t>4-3/4</t>
  </si>
  <si>
    <t>11-3/4</t>
  </si>
  <si>
    <t>7-5/8</t>
  </si>
  <si>
    <t>11-5/8</t>
  </si>
  <si>
    <t>10-3/4</t>
  </si>
  <si>
    <t>13-3/4</t>
  </si>
  <si>
    <t>10-3/8</t>
  </si>
  <si>
    <t>10</t>
  </si>
  <si>
    <t>12</t>
  </si>
  <si>
    <t>12-3/4</t>
  </si>
  <si>
    <t>9-3/8</t>
  </si>
  <si>
    <t>2</t>
  </si>
  <si>
    <t>HV2</t>
  </si>
  <si>
    <t>HW0</t>
  </si>
  <si>
    <t>HX8</t>
  </si>
  <si>
    <t>Total United States Savings Securities...............................................................................…</t>
  </si>
  <si>
    <t>FSLIC Resolution Fund, The.......................................................................................................................................................................................................................................……..</t>
  </si>
  <si>
    <t xml:space="preserve">   Mortgage Association, Housing and Urban Development......................................................................................................................................................................................................</t>
  </si>
  <si>
    <t xml:space="preserve">   Scholarship Foundation..................................................................................................................................................................................................................................................</t>
  </si>
  <si>
    <t>Inland Waterways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</si>
  <si>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Public Debt Outstanding......................................................................…</t>
  </si>
  <si>
    <t>June 2004</t>
  </si>
  <si>
    <t>Settlement will be Monday, August 2, 2004.</t>
  </si>
  <si>
    <r>
      <t xml:space="preserve">Total Matured Treasury Notes 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0"/>
      </rPr>
      <t>...............................................................................…</t>
    </r>
  </si>
  <si>
    <r>
      <t xml:space="preserve">Matured Government Account Series - Intragovernmental Holdings 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.......................................................................................................................................................................................</t>
    </r>
  </si>
  <si>
    <t>Bills 08/02/04..........................................................…</t>
  </si>
  <si>
    <t>Treasury Inflation-Protected Securities..................................................................................…</t>
  </si>
  <si>
    <t>Total Treasury Notes................................................................</t>
  </si>
  <si>
    <t>Total Treasury Bonds....................................................................</t>
  </si>
  <si>
    <t>NATIVE AMERICAN INSTITUTIONS ENDOWMENT FUND</t>
  </si>
  <si>
    <t>12X5205</t>
  </si>
  <si>
    <t>NATURAL RESOURCE DAMAGE ASSESSMENT AND RESTORATION FUND, U.S. FISH AND WILDLIFE SERVICE, INTERIOR</t>
  </si>
  <si>
    <t>14X5198</t>
  </si>
  <si>
    <t>NUCLEAR WASTE DISPOSAL FUND, DEPARTMENT OF ENERGY</t>
  </si>
  <si>
    <t>89X5227</t>
  </si>
  <si>
    <t>20X8185</t>
  </si>
  <si>
    <t>OLIVER WENDELL HOMES DEVISE FUND, LIBRARY OF CONGRESS</t>
  </si>
  <si>
    <t>03X5075</t>
  </si>
  <si>
    <t>Department of Defense, Medicare Eligible Retiree Fund.....................................................................................................</t>
  </si>
  <si>
    <t>Defense Cooperation Account.....................................................................................................</t>
  </si>
  <si>
    <t>RE3</t>
  </si>
  <si>
    <t>RF0</t>
  </si>
  <si>
    <t>RG8</t>
  </si>
  <si>
    <t>RH6</t>
  </si>
  <si>
    <t>RJ2</t>
  </si>
  <si>
    <t>CE8</t>
  </si>
  <si>
    <t>KB2</t>
  </si>
  <si>
    <t>CF5</t>
  </si>
  <si>
    <t>KC0</t>
  </si>
  <si>
    <t>912827  X80</t>
  </si>
  <si>
    <t>GIFTS AND DONATIONS, NATIONAL ENDOWMENT FOR THE HUMANITIES</t>
  </si>
  <si>
    <t>59X8050</t>
  </si>
  <si>
    <t>GIFTS AND DONATIONS, NATIONAL ENDOWMENT OF THE ARTS</t>
  </si>
  <si>
    <t>59X8040</t>
  </si>
  <si>
    <t>GUARANTEES OF MORTGAGE-BACKED SECURITIES FUND, GOVERNMENT NATIONAL MORTGAGE ASSOCIATION, HOUSING AND URBAN</t>
  </si>
  <si>
    <t>86X4238</t>
  </si>
  <si>
    <t>HARBOR MAINTENANCE TRUST FUND</t>
  </si>
  <si>
    <t>20X8863</t>
  </si>
  <si>
    <t>HARRY S. TRUMAN MEMORIAL SCHOLARSHIP TRUST FUND, HARRY S. TRUMAN SCHOLARSHIP FOUNDATION</t>
  </si>
  <si>
    <t>95X8296</t>
  </si>
  <si>
    <t>20X8145</t>
  </si>
  <si>
    <t>HIGHWAY TRUST FUND</t>
  </si>
  <si>
    <t>20X81022</t>
  </si>
  <si>
    <t>INLAND WATERWAYS TRUST FUND</t>
  </si>
  <si>
    <t>20X8861</t>
  </si>
  <si>
    <t>912828  BY5</t>
  </si>
  <si>
    <t>JV0</t>
  </si>
  <si>
    <t>BZ2</t>
  </si>
  <si>
    <t>JW8</t>
  </si>
  <si>
    <t>CA6</t>
  </si>
  <si>
    <t>JX6</t>
  </si>
  <si>
    <t>BX7</t>
  </si>
  <si>
    <t>JU2</t>
  </si>
  <si>
    <t>Uranium Enrichment and Decommissioning Fund, Department of Energy.........................................................................................................</t>
  </si>
  <si>
    <t>4-5/8</t>
  </si>
  <si>
    <t>MORRIS K. UDALL SCHOLARSHIP AND EXCELLENCE IN NATIONAL ENVIRONMENTAL POLICY TRUST FUND</t>
  </si>
  <si>
    <t>95X8615</t>
  </si>
  <si>
    <t>NATIONAL ARCHIVES TRUST FUND, NATIONAL ARCHIVES AND RECORDS ADMINISTRATION</t>
  </si>
  <si>
    <t>88X8436</t>
  </si>
  <si>
    <t>NATIONAL CREDIT UNION SHARE INSURANCE FUND</t>
  </si>
  <si>
    <t>25X4468</t>
  </si>
  <si>
    <t>NATIONAL GIFT FUND, NATIONAL ARCHIVES AND RECORDS ADMINISTRATION</t>
  </si>
  <si>
    <t>88X8127</t>
  </si>
  <si>
    <t>NATIONAL INSTITUTES OF HEALTH CONDITIONAL GIFT FUND</t>
  </si>
  <si>
    <t>75X8253</t>
  </si>
  <si>
    <t>NATIONAL INSTITUTES OF HEALTH UNCONDITIONAL GIFT FUND</t>
  </si>
  <si>
    <t>75X8248</t>
  </si>
  <si>
    <t>NATIONAL SECURITY EDUCATION TRUST FUND</t>
  </si>
  <si>
    <t>97X8168</t>
  </si>
  <si>
    <t>NATIONAL SERVICE LIFE INSURANCE FUND, DEPARTMENT OF VETERANS AFFAIRS</t>
  </si>
  <si>
    <t>36X8132</t>
  </si>
  <si>
    <t xml:space="preserve"> Series E...............................................................</t>
  </si>
  <si>
    <t>On demand</t>
  </si>
  <si>
    <t>At redemption</t>
  </si>
  <si>
    <t xml:space="preserve"> Series EE...........................................................</t>
  </si>
  <si>
    <t xml:space="preserve"> Series E, EE, and I </t>
  </si>
  <si>
    <t xml:space="preserve">  Unclassified................................................</t>
  </si>
  <si>
    <t xml:space="preserve"> Series H..............................................................</t>
  </si>
  <si>
    <t xml:space="preserve"> Series HH..........................................................</t>
  </si>
  <si>
    <t>FQ6</t>
  </si>
  <si>
    <t>CL5</t>
  </si>
  <si>
    <t xml:space="preserve"> Series H and HH Unclassified...............................</t>
  </si>
  <si>
    <t>Vaccine Injury Compensation Trust Fund....................................................................................................................</t>
  </si>
  <si>
    <t>Total Unmatured Treasury Bills...............................................................................…</t>
  </si>
  <si>
    <t>Total Matured Treasury Bills...............................................................................…</t>
  </si>
  <si>
    <t>Total Treasury Bills...............................................................................…</t>
  </si>
  <si>
    <t>Total Unmatured Treasury Notes...............................................................................…</t>
  </si>
  <si>
    <t>Total Treasury Notes...............................................................................…</t>
  </si>
  <si>
    <t>Unearned Copyright Fees, Library Of Congress.................................................................................................................................................................…</t>
  </si>
  <si>
    <t>BM1</t>
  </si>
  <si>
    <t>Wage and Hour and Public Contracts Restitution Fund, Labor...............................................................................…</t>
  </si>
  <si>
    <t>Environmental Improvement and Restoration Fund..........................................................................................................................................................................................................................…</t>
  </si>
  <si>
    <t xml:space="preserve">  912828  AS9</t>
  </si>
  <si>
    <t>DC FEDERAL PENSION LIABILITY TRUST FUND</t>
  </si>
  <si>
    <t>20X8230</t>
  </si>
  <si>
    <t>EISENHOWER EXCHANGE FELLOWSHIP PROGRAM TRUST FUND</t>
  </si>
  <si>
    <t>95X8276</t>
  </si>
  <si>
    <t>EMPLOYEES' HEALTH BENEFITS FUND, OFFICE OF PERSONNEL MANAGEMENT</t>
  </si>
  <si>
    <t>24X8440</t>
  </si>
  <si>
    <t>EMPLOYEES' LIFE INSURANCE FUND, OFFICE OF PERSONNEL MANAGEMENT</t>
  </si>
  <si>
    <t>24X8424</t>
  </si>
  <si>
    <t>ENDEAVOR TEACHER FELLOWSHIP TRUST FUND</t>
  </si>
  <si>
    <t>80X8550</t>
  </si>
  <si>
    <t>IRANIAN CLAIMS SETTLEMENT FUND, TREASURY DEPARTMENT</t>
  </si>
  <si>
    <t>20X6312</t>
  </si>
  <si>
    <t>ISRAELI ARAB SCHOLARSHIP PROGRAM, UNITED STATES INFORMATION AGENCY</t>
  </si>
  <si>
    <t>19X8271</t>
  </si>
  <si>
    <t>JAMES MADISON MEMORIAL FELLOWSHIP FOUNDATION FUND</t>
  </si>
  <si>
    <t>95X8282</t>
  </si>
  <si>
    <t>JAPAN-UNITED STATES FRIENDSHIP TRUST FUND, JAPAN-UNITED STATES FRIENDSHIP COMMISSION</t>
  </si>
  <si>
    <t>95X8025</t>
  </si>
  <si>
    <t>JOHN C. STENNIS CENTER FOR PUBLIC SERVICE TRAINING AND DEVELOPMENT</t>
  </si>
  <si>
    <t>09X8275</t>
  </si>
  <si>
    <t>JUDICIAL OFFICERS RETIREMENT FUND</t>
  </si>
  <si>
    <t>10X8122</t>
  </si>
  <si>
    <t>JUDICIAL SURVIVORS ANNUITIES FUND</t>
  </si>
  <si>
    <t>10X8110</t>
  </si>
  <si>
    <t>KENNEDY CENTER REVENUE BOND SINKING FUND</t>
  </si>
  <si>
    <t>20X6311</t>
  </si>
  <si>
    <t>LAND BETWEEN THE LAKES TRUST FUND</t>
  </si>
  <si>
    <t>12X8039</t>
  </si>
  <si>
    <t>LEAKING UNDERGROUND STORAGE TANK TRUST FUND</t>
  </si>
  <si>
    <t>20X8153</t>
  </si>
  <si>
    <t>LIBRARY OF CONGRESS GIFT FUND</t>
  </si>
  <si>
    <t>03X8031</t>
  </si>
  <si>
    <t>LIBRARY OF CONGRESS TRUST FUND</t>
  </si>
  <si>
    <t>03X8032</t>
  </si>
  <si>
    <t>LINCOLN COUNTY LAND ACT</t>
  </si>
  <si>
    <t>14X5469</t>
  </si>
  <si>
    <t>LOWER BRULE SIOUX TRIBE TERRESTRIAL WILDLIFE HABITAT RESTORATION TRUST FUND</t>
  </si>
  <si>
    <t>20X8207</t>
  </si>
  <si>
    <t>MARKETING SERVICES, AGRICULTURAL MARKETING SERVICE</t>
  </si>
  <si>
    <t>12X2500</t>
  </si>
  <si>
    <t>Bills are sold by competitive bidding on a bank discount yield basis.  The sale price of these securities gives an approximate yield on a  bank discount</t>
  </si>
  <si>
    <t>For price and yield ranges of unmatured securities issued at a premium or discount see Table 3, Public Debt Operations of the quarterly Treasury Bulletin.</t>
  </si>
  <si>
    <t xml:space="preserve">   Administration...........................................................................................................................................................................................................................................................……….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</si>
  <si>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BN9</t>
  </si>
  <si>
    <t>JK4</t>
  </si>
  <si>
    <t>WAR-RISK INSURANCE REVOLVING FUND, MARITIME ADMINISTRATION</t>
  </si>
  <si>
    <t>69X4302</t>
  </si>
  <si>
    <t>Included in this total are marketable securities held by Federal agencies for which Treasury serves as the custodian.  Federal agencies may hold marketable</t>
  </si>
  <si>
    <t>Debentures issued (series MM) by FHA that are redeemable with 3 months' notification.</t>
  </si>
  <si>
    <t>Comparative by Breakdown</t>
  </si>
  <si>
    <t>RA1</t>
  </si>
  <si>
    <t>RB9</t>
  </si>
  <si>
    <t>RC7</t>
  </si>
  <si>
    <t>RD5</t>
  </si>
  <si>
    <t>CC2</t>
  </si>
  <si>
    <t>09/15-03/15</t>
  </si>
  <si>
    <t>JZ1</t>
  </si>
  <si>
    <t>08/31-02/28</t>
  </si>
  <si>
    <t>912828  CB4</t>
  </si>
  <si>
    <t>JY4</t>
  </si>
  <si>
    <t>CD0</t>
  </si>
  <si>
    <t>KA4</t>
  </si>
  <si>
    <t>Department of Defense, Education Benefits Fund.....................................................................................................</t>
  </si>
  <si>
    <t>Redeemable at option of United States on and after dates indicated, unless otherwise shown, but only on interest dates on 4 months' notice.</t>
  </si>
  <si>
    <t>Redeemable on demand.</t>
  </si>
  <si>
    <t xml:space="preserve">  FG8</t>
  </si>
  <si>
    <t xml:space="preserve">  FB9</t>
  </si>
  <si>
    <t>Host Nation Support for U.S. Relocation Activities Account.......................................................................................................................................................</t>
  </si>
  <si>
    <t>These securities are exempt from all taxation now or hereafter imposed on the principal by any state or any possession of the United States or of any</t>
  </si>
  <si>
    <t>local taxing authority.</t>
  </si>
  <si>
    <t>Published on the fourth business day of each month.</t>
  </si>
  <si>
    <t>For sale by the Superintendent of Documents, U.S. Government Printing Office, Washington, D.C.  20402  (202) 512-1800.</t>
  </si>
  <si>
    <t>National Gift Fund, National Archives and Records Administration...............................................................…</t>
  </si>
  <si>
    <t>Payments of Alleged Violators of Department of Energy Regulations,</t>
  </si>
  <si>
    <t>OF THE UNITED STATES</t>
  </si>
  <si>
    <t xml:space="preserve"> </t>
  </si>
  <si>
    <t>(Details may not add to totals)</t>
  </si>
  <si>
    <t>Title</t>
  </si>
  <si>
    <t>Outstanding</t>
  </si>
  <si>
    <t>CF8</t>
  </si>
  <si>
    <t>Marketable:</t>
  </si>
  <si>
    <t>Hazardous Substance Superfund............................................................................................................................................</t>
  </si>
  <si>
    <t>Nonmarketable:</t>
  </si>
  <si>
    <t>EK9</t>
  </si>
  <si>
    <t>This statement is available at 3 p.m. Eastern time on the 4th</t>
  </si>
  <si>
    <r>
      <t xml:space="preserve">workday of each month, at </t>
    </r>
    <r>
      <rPr>
        <b/>
        <u val="single"/>
        <sz val="22"/>
        <rFont val="Arial"/>
        <family val="2"/>
      </rPr>
      <t>www.publicdebt.treas.gov</t>
    </r>
  </si>
  <si>
    <t>.</t>
  </si>
  <si>
    <t>Marketable, Treasury Bonds:</t>
  </si>
  <si>
    <t>Preservation, Birthplace of Abraham Lincoln, National Park Service......................................................................................…</t>
  </si>
  <si>
    <t>CUSTODIAL TRIBAL FUND, OFFICE OF THE SPECIAL TRUSTEE FOR AMERICAN INDIANS</t>
  </si>
  <si>
    <t>14X6803</t>
  </si>
  <si>
    <t>DEPOSITS OF PROCEEDS OF LANDS WITHDRAWN FOR NATIVE SELECTION, BUREAU OF INDIAN AFFAIRS</t>
  </si>
  <si>
    <t>14X6140</t>
  </si>
  <si>
    <t>ESCROW ACCOUNT, NATIONAL LABOR RELATIONS BOARD</t>
  </si>
  <si>
    <t>63X6154</t>
  </si>
  <si>
    <t>FEDERAL SHIP FINANCING ESCROW FUND, MARITIME ADMINISTRATION</t>
  </si>
  <si>
    <t>69X6012</t>
  </si>
  <si>
    <t>GIFTS, CENTRAL INTELLIGENCE AGENCY</t>
  </si>
  <si>
    <t>56X6146</t>
  </si>
  <si>
    <t>INDIVIDUAL INDIAN MONEY, BUREAU OF INDIAN AFFAIRS</t>
  </si>
  <si>
    <t>14X6039</t>
  </si>
  <si>
    <t>KUUKPIK ALASKA ESCROW FUND</t>
  </si>
  <si>
    <t>14X6029</t>
  </si>
  <si>
    <t>German Democratic Republic Settlement Fund.........................................................................................................</t>
  </si>
  <si>
    <t>912827  T85</t>
  </si>
  <si>
    <t>Federal Supplementary Medical Insurance Trust Fund............................................................................................................................................................…</t>
  </si>
  <si>
    <t>Foreign Service Retirement and Disability Fund....................................................................................................................………</t>
  </si>
  <si>
    <t>912827  Q88</t>
  </si>
  <si>
    <t>RP8</t>
  </si>
  <si>
    <t>RQ6</t>
  </si>
  <si>
    <t>RR4</t>
  </si>
  <si>
    <t>RS2</t>
  </si>
  <si>
    <t xml:space="preserve"> CK4</t>
  </si>
  <si>
    <t>2-1/2</t>
  </si>
  <si>
    <t xml:space="preserve"> CM0</t>
  </si>
  <si>
    <t>2-3/4</t>
  </si>
  <si>
    <t xml:space="preserve"> CL2</t>
  </si>
  <si>
    <t>12/15-06/15</t>
  </si>
  <si>
    <t>CK4</t>
  </si>
  <si>
    <t>KG1</t>
  </si>
  <si>
    <t>CM0</t>
  </si>
  <si>
    <t>KJ5</t>
  </si>
  <si>
    <t>CL2</t>
  </si>
  <si>
    <t>KH9</t>
  </si>
  <si>
    <t>Amounts issued, retired, and outstanding for Series E, EE, and I Savings Bonds and Savings Notes are stated at cost plus accrued discount.  Amounts issued,</t>
  </si>
  <si>
    <t>retired, and outstanding for Series H and HH Bonds are stated at face value.</t>
  </si>
  <si>
    <t>United States Government Life Insurance Fund, Department of Veterans Affairs........................................................................................................................................................</t>
  </si>
  <si>
    <t>Thrift Savings Fund, Federal Retirement Thrift Investment Board….……....….......…</t>
  </si>
  <si>
    <t>CAPITOL PRESERVATION FUND, U. S. CAPITOL PRESERVATION COMMISSION</t>
  </si>
  <si>
    <t>09X8300</t>
  </si>
  <si>
    <t>CHEYENNE RIVER SIOUX TRIBE TERRESTRIAL WILDLIFE HABITAT RESTORATION TRUST FUND</t>
  </si>
  <si>
    <t>20X8209</t>
  </si>
  <si>
    <t>CHRISTOPHER COLUMBUS SCHOLARSHIP FUND, CHRISTOPHER COLUMBUS FELLOWSHIP FOUNDATION</t>
  </si>
  <si>
    <t>76X8187</t>
  </si>
  <si>
    <t>CIVIL SERVICE RETIREMENT AND DISABILITY FUND, OFFICE OF PERSONNEL MANAGEMENT</t>
  </si>
  <si>
    <t>24X8135</t>
  </si>
  <si>
    <t>CLAIMS COURT JUDGES RETIREMENT FUND</t>
  </si>
  <si>
    <t>10X8124</t>
  </si>
  <si>
    <t>70X8533</t>
  </si>
  <si>
    <t>COMMUNITY DEVELOPMENT CREDIT UNION REVOLVING FUND, NATIONAL CREDIT UNION ADMINISTRATION</t>
  </si>
  <si>
    <t>25X4472</t>
  </si>
  <si>
    <t>CONDITIONAL GIFT FUND, GENERAL, DEPARTMENT OF STATE</t>
  </si>
  <si>
    <t>19X8822</t>
  </si>
  <si>
    <t>CONTRIBUTIONS, AMERICAN BATTLE MONUMENTS COMMISSION</t>
  </si>
  <si>
    <t>74X85692</t>
  </si>
  <si>
    <t>COURT OF VETERANS APPEALS RETIREMENT FUND</t>
  </si>
  <si>
    <t>95X8290</t>
  </si>
  <si>
    <t>DEPARTMENT OF DEFENSE, EDUCATION BENEFITS FUND</t>
  </si>
  <si>
    <t>97X8098</t>
  </si>
  <si>
    <t>DEPARTMENT OF DEFENSE MEDICARE ELIGIBLE RETIREE FUND</t>
  </si>
  <si>
    <t>97X5472</t>
  </si>
  <si>
    <t>DEPARTMENT OF DEFENSE MILITARY RETIREMENT FUND</t>
  </si>
  <si>
    <t>97X8097</t>
  </si>
  <si>
    <t>Total Domestic Series....................................................</t>
  </si>
  <si>
    <t>Foreign Series:</t>
  </si>
  <si>
    <t>d</t>
  </si>
  <si>
    <t>Total Foreign Series....................................................</t>
  </si>
  <si>
    <t>R.E.A. Series:</t>
  </si>
  <si>
    <t>5% Treasury Certificates of</t>
  </si>
  <si>
    <t xml:space="preserve">  Indebtedness................................................................................</t>
  </si>
  <si>
    <t>Semiannually</t>
  </si>
  <si>
    <t>Total R.E.A. Series....................................................</t>
  </si>
  <si>
    <t>Total Unmatured United States Savings Securities....................................................</t>
  </si>
  <si>
    <t>These securities are not eligible for stripping and reconstitution, see Table V, "Holdings of Treasury Securities in Stripped Form".</t>
  </si>
  <si>
    <t xml:space="preserve">  c   f</t>
  </si>
  <si>
    <t>8-1/8</t>
  </si>
  <si>
    <t>3-5/8</t>
  </si>
  <si>
    <t>3-3/8</t>
  </si>
  <si>
    <t xml:space="preserve"> Various</t>
  </si>
  <si>
    <t>Domestic Series:</t>
  </si>
  <si>
    <t>6R8</t>
  </si>
  <si>
    <t>3-1/2</t>
  </si>
  <si>
    <t>ENERGY EMPLOYEES OCCUPATIONAL ILLNESS COMPENSATION FUND</t>
  </si>
  <si>
    <t>16X1523</t>
  </si>
  <si>
    <t>ENVIRONMENTAL IMPROVEMENT AND RESTORATION FUND</t>
  </si>
  <si>
    <t>14X5425</t>
  </si>
  <si>
    <t>ESTHER CATTELL SCHMITT GIFT FUND, TREASURY</t>
  </si>
  <si>
    <t>20X8902</t>
  </si>
  <si>
    <t>EXCHANGE STABILIZATION FUND, OFFICE OF THE SECRETARY, TREASURY</t>
  </si>
  <si>
    <t>20X44441</t>
  </si>
  <si>
    <t>EXPENSES, PRESIDIO TRUST</t>
  </si>
  <si>
    <t>95X4331</t>
  </si>
  <si>
    <t xml:space="preserve">  (Various rates)..............................................</t>
  </si>
  <si>
    <t>Treasury Special Zero's - Notes..................</t>
  </si>
  <si>
    <t>Treasury Time Deposit - Bonds</t>
  </si>
  <si>
    <t>Total State and Local Government</t>
  </si>
  <si>
    <t xml:space="preserve">  Series..................................................................</t>
  </si>
  <si>
    <t>70X4236</t>
  </si>
  <si>
    <t>REREGISTRATION AND EXPEDITED PROCESSING FUND, ENVIRONMENTAL PROTECTION AGE</t>
  </si>
  <si>
    <t>68X4310</t>
  </si>
  <si>
    <t>National Flood Insurance Fund, Federal Emergency Management Agency..................................................................................................................................................…</t>
  </si>
  <si>
    <t>Reregistration and Expedited Processing Fund, Environmental Potection Age.....................................................................................................................................................................................................................................…….</t>
  </si>
  <si>
    <t>Total Not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</si>
  <si>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HN0</t>
  </si>
  <si>
    <t>Mortgage Guaranty Insurance Company Tax and Loss Bond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</si>
  <si>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BR0</t>
  </si>
  <si>
    <t>JL2</t>
  </si>
  <si>
    <t>912828  BP4</t>
  </si>
  <si>
    <t>912827  2J0</t>
  </si>
  <si>
    <t>912828  BQ2</t>
  </si>
  <si>
    <t>JM0</t>
  </si>
  <si>
    <t>912827  5G3</t>
  </si>
  <si>
    <t>JN8</t>
  </si>
  <si>
    <t>Saving Association Insurance Fund, The..................................................................................................................</t>
  </si>
  <si>
    <t>Science, Space and Technology Education Trust Fund, National Aeronautics</t>
  </si>
  <si>
    <r>
      <t xml:space="preserve">Total Nonmarketable  </t>
    </r>
    <r>
      <rPr>
        <b/>
        <vertAlign val="superscript"/>
        <sz val="14"/>
        <rFont val="Arial"/>
        <family val="2"/>
      </rPr>
      <t>b</t>
    </r>
    <r>
      <rPr>
        <b/>
        <sz val="14"/>
        <rFont val="Arial"/>
        <family val="2"/>
      </rPr>
      <t>..................................................................................…</t>
    </r>
  </si>
  <si>
    <t>Public Debt Outstanding..................................................................................…</t>
  </si>
  <si>
    <t>Other Debt Not Subject to Limit..................................................................................…</t>
  </si>
  <si>
    <t>Total Public Debt Subject to Limit..................................................................................…</t>
  </si>
  <si>
    <t xml:space="preserve">Deposits of Proceeds of Lands Withdrawn for Native Selection, </t>
  </si>
  <si>
    <t>Maritime Guaranteed Loan Escrow Fund................................................................................................................................................................…</t>
  </si>
  <si>
    <t xml:space="preserve">   Bureau of Indian Affairs......................................................................................................................................................................…</t>
  </si>
  <si>
    <t>Tribal Trust Fund, Office of the Special Trustee for American Indians.......................................................................</t>
  </si>
  <si>
    <t>Balance of Statutory Debt Limit.......................................................................................................................................................................…</t>
  </si>
  <si>
    <t>Less than $500 thousand.</t>
  </si>
  <si>
    <t>EM5</t>
  </si>
  <si>
    <t>CH4</t>
  </si>
  <si>
    <t>ER4</t>
  </si>
  <si>
    <t>Subject to the Statutory Debt Limit:</t>
  </si>
  <si>
    <t>total</t>
  </si>
  <si>
    <t>3-7/8</t>
  </si>
  <si>
    <t>DN4</t>
  </si>
  <si>
    <t>Corpus</t>
  </si>
  <si>
    <t>STRIP</t>
  </si>
  <si>
    <t>Maturity Date</t>
  </si>
  <si>
    <t>SAVING ASSOCIATION INSURANCE FUND, THE</t>
  </si>
  <si>
    <t>51X4066</t>
  </si>
  <si>
    <t>QZ7</t>
  </si>
  <si>
    <t>PUBLIC ENTERPRISE REVOLVING FUND, OFFICE OF THRIFT SUPERVISION, TREASURY</t>
  </si>
  <si>
    <t>20X4108</t>
  </si>
  <si>
    <t xml:space="preserve">   and Space Administration.........................................................................................................................................................................................................................................……….</t>
  </si>
  <si>
    <t>South Dakota Terrestrial Wildlife Habitat Restoration Trust Fund.......................................................................................................................................................................................……….</t>
  </si>
  <si>
    <t>Southern Nevada Public Land Management Act of 1998.......................................................................................................................................................................................……….</t>
  </si>
  <si>
    <t>5W8</t>
  </si>
  <si>
    <t>Aquatic Resources Trust Fund.....................................................................................................................................</t>
  </si>
  <si>
    <t>The data reported represents a one or two month lag behind the date of the Monthly Statement of the Public Debt.</t>
  </si>
  <si>
    <t>(Millions of dollars)</t>
  </si>
  <si>
    <t>Amount Outstanding in Thousands</t>
  </si>
  <si>
    <t>7F3</t>
  </si>
  <si>
    <t>GQ4</t>
  </si>
  <si>
    <t>GA9</t>
  </si>
  <si>
    <t xml:space="preserve">*  </t>
  </si>
  <si>
    <t>Capitol Preservation Fund, U.S. Capitol Preservation Commission.....................................................................</t>
  </si>
  <si>
    <t>OPERATION AND MAINTENANCE, INDIAN IRRIGATION SYSTEMS, BUREAU OF INDIAN AFFAIRS</t>
  </si>
  <si>
    <t>14X5240</t>
  </si>
  <si>
    <t>OVERSEAS PRIVATE INVESTMENT CORPORATION, INSURANCE AND EQUITY NON CREDIT ACCOUNT</t>
  </si>
  <si>
    <t>71X4184</t>
  </si>
  <si>
    <t>PANAMA CANAL COMMISSION COMPENSATION FUND</t>
  </si>
  <si>
    <t>16X5155</t>
  </si>
  <si>
    <t>PANAMA CANAL COMMISSION DISSOLUTION FUND</t>
  </si>
  <si>
    <t>95X4073</t>
  </si>
  <si>
    <t>PATIENTS BENEFIT FUND, NATIONAL INSTITUTES OF HEALTH</t>
  </si>
  <si>
    <t>75X8888</t>
  </si>
  <si>
    <t>PAYMENTS TO COPYRIGHT OWNERS, COPYRIGHT OFFICE, LIBRARY OF CONGRESS</t>
  </si>
  <si>
    <t>03X5175</t>
  </si>
  <si>
    <t>PENSION BENEFIT GUARANTY CORPORATION</t>
  </si>
  <si>
    <t>16X4204</t>
  </si>
  <si>
    <t>PERISHABLE AGRICULTURAL COMMODITIES ACT, AGRICULTURAL MARKETING SERVICE</t>
  </si>
  <si>
    <t>12X5070</t>
  </si>
  <si>
    <t>POSTAL SERVICE FUND</t>
  </si>
  <si>
    <t>18X4020</t>
  </si>
  <si>
    <t>POWER SYSTEMS, INDIAN IRRIGATION PROJECTS, BUREAU OF INDIAN AFFAIRS</t>
  </si>
  <si>
    <t>14X5648</t>
  </si>
  <si>
    <t>PRESERVATION, BIRTHPLACE OF ABRAHAM LINCOLN, NATIONAL PARK SERVICE</t>
  </si>
  <si>
    <t>14X8052</t>
  </si>
  <si>
    <t>PRISON INDUSTRIES FUND, DEPARTMENT OF JUSTICE</t>
  </si>
  <si>
    <t>15X4500</t>
  </si>
  <si>
    <t xml:space="preserve"> Series I..............................................................</t>
  </si>
  <si>
    <t>Total United States Savings Bonds....................</t>
  </si>
  <si>
    <t>United States Individual Retirement</t>
  </si>
  <si>
    <t xml:space="preserve">  Bonds................................................................</t>
  </si>
  <si>
    <t xml:space="preserve">United States Retirement Plan </t>
  </si>
  <si>
    <t xml:space="preserve">  Bonds........................................................</t>
  </si>
  <si>
    <t>AW0</t>
  </si>
  <si>
    <t>HT7</t>
  </si>
  <si>
    <t>Nonmarketable--Continued:</t>
  </si>
  <si>
    <t>Abandoned Mines Reclamation Fund, Office of Surface Mining Reclamation</t>
  </si>
  <si>
    <t>Fiscal Year 2003</t>
  </si>
  <si>
    <t>TRUST FUND, THE BARRY GOLDWATER SCHOLARSHIP AND EXCELLENCE IN EDUCATION FUND</t>
  </si>
  <si>
    <t>95X8281</t>
  </si>
  <si>
    <t>UNEMPLOYMENT TRUST FUND</t>
  </si>
  <si>
    <t>20X8042</t>
  </si>
  <si>
    <t>UNITED STATES ENRICHMENT CORPORATION FUND</t>
  </si>
  <si>
    <t>95X4054</t>
  </si>
  <si>
    <t>UNITED STATES GOVERNMENT LIFE INSURANCE FUND, DEPARTMENT OF VETERANS AFFAIRS</t>
  </si>
  <si>
    <t>36X8150</t>
  </si>
  <si>
    <t>UNITED STATES NAVAL ACADEMY GENERAL GIFT FUND</t>
  </si>
  <si>
    <t>17X8733</t>
  </si>
  <si>
    <t>UNITED STATES TRUSTEE SYSTEM FUND, JUSTICE</t>
  </si>
  <si>
    <t>15X5073</t>
  </si>
  <si>
    <t>Belize Escrow, Debt Reduction, Treasury.........................................................................................................................…</t>
  </si>
  <si>
    <t>Public Enterprise Revolving Fund, Office of Thrift Supervision, Treasury...........................................................................................................................................................…</t>
  </si>
  <si>
    <t>Postal Service Fund......................................................................................................................................................................................................................…</t>
  </si>
  <si>
    <t>CUSIP</t>
  </si>
  <si>
    <t>Total</t>
  </si>
  <si>
    <t>Portion Held in</t>
  </si>
  <si>
    <t>Unstripped Form</t>
  </si>
  <si>
    <t>Stripped Form</t>
  </si>
  <si>
    <t>Treasury Bonds:</t>
  </si>
  <si>
    <t>912803 AB9</t>
  </si>
  <si>
    <t>AD5</t>
  </si>
  <si>
    <t>AG8</t>
  </si>
  <si>
    <t>AJ2</t>
  </si>
  <si>
    <t>Claims Court Judges Retirement Fund.........................................................................................................................</t>
  </si>
  <si>
    <t>Bequests and Gifts, Disaster Relief, Funds Appropriated to the President......................................................................................................................................…</t>
  </si>
  <si>
    <t>securities through custodians other than Treasury for which data is not available.</t>
  </si>
  <si>
    <t>SOUTHERN NEVADA PUBLIC LAND MANAGEMENT ACT OF 1998</t>
  </si>
  <si>
    <t>14X5232</t>
  </si>
  <si>
    <t>TAX COURT JUDGES SURVIVORS ANNUITY FUND</t>
  </si>
  <si>
    <t>23X8115</t>
  </si>
  <si>
    <t>TREASURY FORFEITURE FUND</t>
  </si>
  <si>
    <t>20X5697</t>
  </si>
  <si>
    <t>TRIBAL SPECIAL FUND, OFFICE OF THE SPECIAL TRUSTEE FOR AMERICAN INDIANS</t>
  </si>
  <si>
    <t>14X5265</t>
  </si>
  <si>
    <t>TRIBAL TRUST FUND, OFFICE OF THE SPECIAL TRUSTEE FOR AMERICAN INDIANS</t>
  </si>
  <si>
    <t>14X8030</t>
  </si>
  <si>
    <t xml:space="preserve">   Accoun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</si>
  <si>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Z62</t>
  </si>
  <si>
    <t>Reconstituted</t>
  </si>
  <si>
    <r>
      <t xml:space="preserve">        This Month </t>
    </r>
    <r>
      <rPr>
        <vertAlign val="superscript"/>
        <sz val="13"/>
        <rFont val="Arial"/>
        <family val="2"/>
      </rPr>
      <t>17</t>
    </r>
  </si>
  <si>
    <t>Individual Indian Money, Bureau of Indian Affairs.....................................................................................................................................…</t>
  </si>
  <si>
    <t>Total Marketable consists of short-term debt (1 year and less) of $962,544 million, long-term debt (greater than 1 year) of $2,812,554 million and</t>
  </si>
  <si>
    <t>matured debt of $33,377 million.</t>
  </si>
  <si>
    <t>Total Nonmarketable consists of short-term debt (1 year and less) of $170,096 million, long-term debt (greater than 1 year) of $3,327,011 million and</t>
  </si>
  <si>
    <t>matured debt of $10,985 million.</t>
  </si>
  <si>
    <t>Library of Congress Gift Fund....................................................................................................................................…</t>
  </si>
  <si>
    <t>Bills..................................................................................…</t>
  </si>
  <si>
    <r>
      <t xml:space="preserve">Total Marketable  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>.....................................................................................</t>
    </r>
  </si>
  <si>
    <t>Domestic Series..................................................................................…</t>
  </si>
  <si>
    <t>Foreign Series..................................................................................…</t>
  </si>
  <si>
    <t>Exchange Stabilization Fund, Office of the Secretary, Treasury................................................................................................................</t>
  </si>
  <si>
    <t>Farm Credit Insurance Fund, Capital Corporation Investment Fund, Farm</t>
  </si>
  <si>
    <t>Federal Aid to Wildlife Restoration, United States Fish and Wildlife Service.......................................................</t>
  </si>
  <si>
    <t>Federal Disability Insurance Trust Fund.........................................................................................................................</t>
  </si>
  <si>
    <t>Total Matured United States Savings Securities..................................................…</t>
  </si>
  <si>
    <t>Escrow Account, National Labor Relations Board..........................................................................................................…</t>
  </si>
  <si>
    <t>912827  2M3</t>
  </si>
  <si>
    <t>912827 2M3</t>
  </si>
  <si>
    <t>2-1/4</t>
  </si>
  <si>
    <t>912828  AF7</t>
  </si>
  <si>
    <t>HC4</t>
  </si>
  <si>
    <t>The difference between the price paid for a Treasury Bill and the amount received at redemption upon maturity is treated as ordinary income.  If the bill is</t>
  </si>
  <si>
    <t xml:space="preserve">  EZ7</t>
  </si>
  <si>
    <t>sold before maturity, part of the difference between the holder's basis (cost) and the gain realized may be treated as capital gain and part may be treated</t>
  </si>
  <si>
    <t>as ordinary income.  Under Section 1281 of the Internal Revenue Code, some holder of Treasury Bills are required to include currently in income a portion</t>
  </si>
  <si>
    <t>of the discount accruing in the taxable year.</t>
  </si>
  <si>
    <t>4</t>
  </si>
  <si>
    <t>The subscription price is $44.00 per year (domestic), $61.60 per year (foreign).  No single copies are sold.</t>
  </si>
  <si>
    <t>Oil Spill Liability Trust Fund.............................................................................................................................................</t>
  </si>
  <si>
    <t>John C. Stennis Center for Public Service Training and Development.................................................................</t>
  </si>
  <si>
    <t>United States Not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</si>
  <si>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Credit Administration 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</si>
  <si>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Silver Certificates (Act of June 24, 1967)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</si>
  <si>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</si>
  <si>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15X6119</t>
  </si>
  <si>
    <t>DEFENSE COOPERATION ACCOUNT, DEFENSE</t>
  </si>
  <si>
    <t>97X5187</t>
  </si>
  <si>
    <t>DC</t>
  </si>
  <si>
    <t>HOST NATION SUPPORT FOR U. S. RELOCATION ACTIVITIES ACCOUNT</t>
  </si>
  <si>
    <t>Total Treasury Inflation-Protected Securities.................................................</t>
  </si>
  <si>
    <t>97X8337</t>
  </si>
  <si>
    <t>USAO/CDR-Enterprise Settlement Fund........................................................................................................................…</t>
  </si>
  <si>
    <t xml:space="preserve">   Fellowship  Foundation...................................................................................................................................................................................................................................................</t>
  </si>
  <si>
    <t>RT0</t>
  </si>
  <si>
    <t>RU7</t>
  </si>
  <si>
    <t>RV5</t>
  </si>
  <si>
    <t>RW3</t>
  </si>
  <si>
    <t>RX1</t>
  </si>
  <si>
    <t xml:space="preserve"> CN8</t>
  </si>
  <si>
    <t>CN8</t>
  </si>
  <si>
    <t>3 5/8</t>
  </si>
  <si>
    <t>KK2</t>
  </si>
  <si>
    <t>CP3</t>
  </si>
  <si>
    <t>KL0</t>
  </si>
  <si>
    <t>FD5</t>
  </si>
  <si>
    <t>912810  FR4</t>
  </si>
  <si>
    <t>Land Between the Lakes Trust Fund..................................................................................................................</t>
  </si>
  <si>
    <t>9-7/8</t>
  </si>
  <si>
    <t>9-1/4</t>
  </si>
  <si>
    <t>9</t>
  </si>
  <si>
    <t>Utah Reclamation Mitigation and Conservation Account, Interior........................................................................................................</t>
  </si>
  <si>
    <t>Gifts and Bequests, Treasury............................................................................................................................................</t>
  </si>
  <si>
    <t>Unemployment Trust Fund..............................................................................................................................................</t>
  </si>
  <si>
    <t>AM2</t>
  </si>
  <si>
    <t>HJ9</t>
  </si>
  <si>
    <t>Zero-coupon Treasury Bond.......................................</t>
  </si>
  <si>
    <t>Federal Ship Financing Escrow Fund, Maritime Administration...............................................................................…</t>
  </si>
  <si>
    <t xml:space="preserve">   Policy Trust Fund...............................................................................................................................................................................................................................................................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</si>
  <si>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National Institutes of Health Conditional Gift Fund.........................................................................................................................................................................................................…</t>
  </si>
  <si>
    <t xml:space="preserve">    General Hospital.................................................................................................................................................................…</t>
  </si>
  <si>
    <t>Servicemen's Group Life Insurance Fund................................................................................................................................</t>
  </si>
  <si>
    <t>EE3</t>
  </si>
  <si>
    <r>
      <t xml:space="preserve">MONTHLY STATEMENT OF </t>
    </r>
    <r>
      <rPr>
        <b/>
        <sz val="30"/>
        <rFont val="Colonna MT"/>
        <family val="0"/>
      </rPr>
      <t>THE</t>
    </r>
    <r>
      <rPr>
        <b/>
        <sz val="30"/>
        <color indexed="10"/>
        <rFont val="Colonna MT"/>
        <family val="0"/>
      </rPr>
      <t xml:space="preserve"> </t>
    </r>
    <r>
      <rPr>
        <b/>
        <sz val="30"/>
        <rFont val="Colonna MT"/>
        <family val="0"/>
      </rPr>
      <t>PUBLIC DEBT</t>
    </r>
  </si>
  <si>
    <t>1-5/8</t>
  </si>
  <si>
    <t>AS9</t>
  </si>
  <si>
    <t>HP5</t>
  </si>
  <si>
    <t>FHA - Liquidating Account, Housing and Urban Development.......................................................................................................................................................…</t>
  </si>
  <si>
    <t xml:space="preserve"> DP0</t>
  </si>
  <si>
    <t>DS4</t>
  </si>
  <si>
    <t>DT2</t>
  </si>
  <si>
    <t>DV7</t>
  </si>
  <si>
    <t>DW5</t>
  </si>
  <si>
    <t xml:space="preserve"> DX3</t>
  </si>
  <si>
    <t>DY1</t>
  </si>
  <si>
    <t>DZ8</t>
  </si>
  <si>
    <t xml:space="preserve"> EA2</t>
  </si>
  <si>
    <t>EB0</t>
  </si>
  <si>
    <t>EC8</t>
  </si>
  <si>
    <t>ED6</t>
  </si>
  <si>
    <t>EE4</t>
  </si>
  <si>
    <t>EF1</t>
  </si>
  <si>
    <t>EG9</t>
  </si>
  <si>
    <t>EH7</t>
  </si>
  <si>
    <t xml:space="preserve"> EJ3</t>
  </si>
  <si>
    <t>EK0</t>
  </si>
  <si>
    <t>EL8</t>
  </si>
  <si>
    <t>EM6</t>
  </si>
  <si>
    <t>EN4</t>
  </si>
  <si>
    <t xml:space="preserve"> EP9</t>
  </si>
  <si>
    <t>EQ7</t>
  </si>
  <si>
    <t>ES3</t>
  </si>
  <si>
    <t>ET1</t>
  </si>
  <si>
    <t>EV6</t>
  </si>
  <si>
    <t>EW4</t>
  </si>
  <si>
    <t>EX2</t>
  </si>
  <si>
    <t>EZ7</t>
  </si>
  <si>
    <t>FA1</t>
  </si>
  <si>
    <t>FB9</t>
  </si>
  <si>
    <t>FE3</t>
  </si>
  <si>
    <t>FF0</t>
  </si>
  <si>
    <t>FG8</t>
  </si>
  <si>
    <t>FJ2</t>
  </si>
  <si>
    <t>FM5</t>
  </si>
  <si>
    <t>3T7</t>
  </si>
  <si>
    <t>Total Unmatured Treasury Bonds...............................................................................…</t>
  </si>
  <si>
    <t>Total Matured Treasury Bonds...............................................................................…</t>
  </si>
  <si>
    <t>Gifts, Central Intelligence Agency.................................................................................................................................................................…</t>
  </si>
  <si>
    <t>Special Investment Account.................................................................................................................................................................…</t>
  </si>
  <si>
    <t>auctions 4-,13- and 26- week bills.</t>
  </si>
  <si>
    <t>The minimum holding period has been extended from 6 to 12 months, effective with issues dated on and after February 1, 2003.  Series EE and I Savings Bonds</t>
  </si>
  <si>
    <t>bearing issue dates prior to February 2003 retain the 6 month minimum holding period from the date of issue at which time they may be redeemed at the</t>
  </si>
  <si>
    <t xml:space="preserve">option of the owner. </t>
  </si>
  <si>
    <t>Treasury Deposit Funds.................................................................................................................................................................…</t>
  </si>
  <si>
    <t>10/31-04/30</t>
  </si>
  <si>
    <t>09/30-03/31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</si>
</sst>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  <numFmt numFmtId="185" formatCode="#,##0.0_);\(#,##0.0\)"/>
    <numFmt numFmtId="186" formatCode="#,##0.0000_);\(#,##0.0000\)"/>
    <numFmt numFmtId="187" formatCode="#,##0.0000000_);\(#,##0.0000000\)"/>
    <numFmt numFmtId="188" formatCode="#,##0.00000000_);\(#,##0.00000000\)"/>
    <numFmt numFmtId="189" formatCode="#,##0.000000_);\(#,##0.000000\)"/>
    <numFmt numFmtId="190" formatCode="#,##0.00000_);\(#,##0.00000\)"/>
  </numFmts>
  <fonts count="3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8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vertAlign val="superscript"/>
      <sz val="12"/>
      <name val="Arial"/>
      <family val="2"/>
    </font>
    <font>
      <sz val="9"/>
      <name val="Arial"/>
      <family val="0"/>
    </font>
    <font>
      <b/>
      <sz val="30"/>
      <name val="Colonna MT"/>
      <family val="5"/>
    </font>
    <font>
      <b/>
      <sz val="27"/>
      <name val="Colonna MT"/>
      <family val="5"/>
    </font>
    <font>
      <b/>
      <sz val="17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vertAlign val="superscript"/>
      <sz val="13"/>
      <name val="Arial"/>
      <family val="2"/>
    </font>
    <font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22"/>
      <name val="Arial"/>
      <family val="2"/>
    </font>
    <font>
      <sz val="16"/>
      <name val="Arial"/>
      <family val="2"/>
    </font>
    <font>
      <sz val="15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b/>
      <sz val="30"/>
      <color indexed="10"/>
      <name val="Colonna MT"/>
      <family val="0"/>
    </font>
    <font>
      <sz val="11"/>
      <name val="Arial"/>
      <family val="2"/>
    </font>
    <font>
      <b/>
      <u val="double"/>
      <sz val="12"/>
      <color indexed="8"/>
      <name val="Arial"/>
      <family val="2"/>
    </font>
    <font>
      <u val="double"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23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Continuous"/>
    </xf>
    <xf numFmtId="0" fontId="4" fillId="0" borderId="0" xfId="0" applyFont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7" fontId="0" fillId="0" borderId="7" xfId="0" applyNumberFormat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37" fontId="0" fillId="0" borderId="0" xfId="0" applyNumberFormat="1" applyAlignment="1" applyProtection="1">
      <alignment horizontal="centerContinuous"/>
      <protection/>
    </xf>
    <xf numFmtId="37" fontId="0" fillId="0" borderId="6" xfId="0" applyNumberFormat="1" applyBorder="1" applyAlignment="1" applyProtection="1">
      <alignment/>
      <protection/>
    </xf>
    <xf numFmtId="166" fontId="0" fillId="0" borderId="0" xfId="0" applyNumberFormat="1" applyAlignment="1" applyProtection="1">
      <alignment horizontal="centerContinuous"/>
      <protection/>
    </xf>
    <xf numFmtId="0" fontId="1" fillId="0" borderId="0" xfId="0" applyFont="1" applyAlignment="1">
      <alignment/>
    </xf>
    <xf numFmtId="166" fontId="0" fillId="0" borderId="0" xfId="0" applyNumberFormat="1" applyAlignment="1" applyProtection="1">
      <alignment/>
      <protection/>
    </xf>
    <xf numFmtId="0" fontId="0" fillId="0" borderId="9" xfId="0" applyBorder="1" applyAlignment="1">
      <alignment/>
    </xf>
    <xf numFmtId="166" fontId="0" fillId="0" borderId="9" xfId="0" applyNumberFormat="1" applyBorder="1" applyAlignment="1" applyProtection="1">
      <alignment/>
      <protection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166" fontId="0" fillId="0" borderId="6" xfId="0" applyNumberFormat="1" applyBorder="1" applyAlignment="1" applyProtection="1">
      <alignment/>
      <protection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66" fontId="10" fillId="0" borderId="0" xfId="0" applyNumberFormat="1" applyFont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166" fontId="10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 horizontal="right"/>
    </xf>
    <xf numFmtId="10" fontId="0" fillId="0" borderId="0" xfId="0" applyNumberFormat="1" applyAlignment="1" applyProtection="1">
      <alignment/>
      <protection/>
    </xf>
    <xf numFmtId="166" fontId="0" fillId="0" borderId="5" xfId="0" applyNumberFormat="1" applyBorder="1" applyAlignment="1" applyProtection="1">
      <alignment/>
      <protection/>
    </xf>
    <xf numFmtId="166" fontId="0" fillId="0" borderId="5" xfId="0" applyNumberFormat="1" applyBorder="1" applyAlignment="1" applyProtection="1">
      <alignment horizontal="centerContinuous"/>
      <protection/>
    </xf>
    <xf numFmtId="37" fontId="0" fillId="0" borderId="5" xfId="0" applyNumberFormat="1" applyBorder="1" applyAlignment="1" applyProtection="1">
      <alignment horizontal="centerContinuous"/>
      <protection/>
    </xf>
    <xf numFmtId="0" fontId="0" fillId="0" borderId="0" xfId="0" applyAlignment="1">
      <alignment horizontal="center"/>
    </xf>
    <xf numFmtId="166" fontId="9" fillId="0" borderId="5" xfId="0" applyNumberFormat="1" applyFont="1" applyBorder="1" applyAlignment="1" applyProtection="1">
      <alignment horizontal="centerContinuous"/>
      <protection/>
    </xf>
    <xf numFmtId="0" fontId="9" fillId="0" borderId="5" xfId="0" applyFont="1" applyBorder="1" applyAlignment="1">
      <alignment horizontal="center"/>
    </xf>
    <xf numFmtId="37" fontId="0" fillId="0" borderId="5" xfId="0" applyNumberFormat="1" applyBorder="1" applyAlignment="1" applyProtection="1">
      <alignment horizontal="right"/>
      <protection/>
    </xf>
    <xf numFmtId="166" fontId="0" fillId="0" borderId="5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37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169" fontId="6" fillId="0" borderId="0" xfId="0" applyNumberFormat="1" applyFont="1" applyAlignment="1" applyProtection="1">
      <alignment horizontal="centerContinuous"/>
      <protection/>
    </xf>
    <xf numFmtId="169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 horizontal="right"/>
    </xf>
    <xf numFmtId="37" fontId="0" fillId="0" borderId="17" xfId="0" applyNumberFormat="1" applyBorder="1" applyAlignment="1" applyProtection="1">
      <alignment/>
      <protection/>
    </xf>
    <xf numFmtId="0" fontId="0" fillId="0" borderId="18" xfId="0" applyBorder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2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166" fontId="0" fillId="0" borderId="5" xfId="0" applyNumberFormat="1" applyBorder="1" applyAlignment="1" applyProtection="1" quotePrefix="1">
      <alignment horizontal="centerContinuous"/>
      <protection/>
    </xf>
    <xf numFmtId="166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Continuous"/>
    </xf>
    <xf numFmtId="37" fontId="0" fillId="0" borderId="14" xfId="0" applyNumberForma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6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 horizontal="centerContinuous"/>
    </xf>
    <xf numFmtId="169" fontId="6" fillId="0" borderId="0" xfId="0" applyNumberFormat="1" applyFont="1" applyAlignment="1" applyProtection="1">
      <alignment horizontal="right"/>
      <protection/>
    </xf>
    <xf numFmtId="169" fontId="6" fillId="0" borderId="0" xfId="0" applyNumberFormat="1" applyFont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37" fontId="0" fillId="0" borderId="21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166" fontId="0" fillId="0" borderId="5" xfId="0" applyNumberFormat="1" applyBorder="1" applyAlignment="1" applyProtection="1" quotePrefix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Continuous"/>
      <protection/>
    </xf>
    <xf numFmtId="0" fontId="0" fillId="0" borderId="21" xfId="0" applyFont="1" applyBorder="1" applyAlignment="1">
      <alignment/>
    </xf>
    <xf numFmtId="37" fontId="9" fillId="0" borderId="22" xfId="0" applyNumberFormat="1" applyFon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0" fontId="9" fillId="0" borderId="0" xfId="0" applyFont="1" applyBorder="1" applyAlignment="1">
      <alignment horizontal="right"/>
    </xf>
    <xf numFmtId="166" fontId="9" fillId="0" borderId="0" xfId="0" applyNumberFormat="1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37" fontId="9" fillId="0" borderId="21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5" xfId="0" applyNumberForma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  <xf numFmtId="37" fontId="9" fillId="0" borderId="13" xfId="0" applyNumberFormat="1" applyFont="1" applyBorder="1" applyAlignment="1" applyProtection="1">
      <alignment/>
      <protection/>
    </xf>
    <xf numFmtId="37" fontId="6" fillId="0" borderId="13" xfId="0" applyNumberFormat="1" applyFont="1" applyBorder="1" applyAlignment="1" applyProtection="1">
      <alignment/>
      <protection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left"/>
    </xf>
    <xf numFmtId="166" fontId="0" fillId="0" borderId="5" xfId="0" applyNumberFormat="1" applyBorder="1" applyAlignment="1" applyProtection="1">
      <alignment/>
      <protection/>
    </xf>
    <xf numFmtId="166" fontId="0" fillId="0" borderId="5" xfId="0" applyNumberFormat="1" applyBorder="1" applyAlignment="1" applyProtection="1" quotePrefix="1">
      <alignment/>
      <protection/>
    </xf>
    <xf numFmtId="0" fontId="0" fillId="0" borderId="5" xfId="0" applyBorder="1" applyAlignment="1" quotePrefix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 quotePrefix="1">
      <alignment horizontal="center"/>
    </xf>
    <xf numFmtId="37" fontId="0" fillId="0" borderId="5" xfId="0" applyNumberFormat="1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49" fontId="0" fillId="0" borderId="16" xfId="0" applyNumberFormat="1" applyFont="1" applyBorder="1" applyAlignment="1">
      <alignment horizontal="centerContinuous"/>
    </xf>
    <xf numFmtId="49" fontId="0" fillId="0" borderId="24" xfId="0" applyNumberFormat="1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7" fontId="0" fillId="0" borderId="24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 quotePrefix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169" fontId="18" fillId="0" borderId="0" xfId="0" applyNumberFormat="1" applyFont="1" applyAlignment="1" applyProtection="1">
      <alignment horizontal="left" vertical="center"/>
      <protection/>
    </xf>
    <xf numFmtId="0" fontId="0" fillId="0" borderId="25" xfId="0" applyBorder="1" applyAlignment="1">
      <alignment/>
    </xf>
    <xf numFmtId="0" fontId="0" fillId="0" borderId="5" xfId="0" applyBorder="1" applyAlignment="1">
      <alignment horizontal="right"/>
    </xf>
    <xf numFmtId="0" fontId="0" fillId="0" borderId="26" xfId="0" applyBorder="1" applyAlignment="1">
      <alignment horizontal="centerContinuous"/>
    </xf>
    <xf numFmtId="37" fontId="0" fillId="0" borderId="4" xfId="0" applyNumberFormat="1" applyBorder="1" applyAlignment="1" applyProtection="1">
      <alignment horizontal="centerContinuous"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 horizontal="right"/>
      <protection/>
    </xf>
    <xf numFmtId="0" fontId="18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horizontal="right"/>
    </xf>
    <xf numFmtId="166" fontId="9" fillId="0" borderId="21" xfId="0" applyNumberFormat="1" applyFont="1" applyBorder="1" applyAlignment="1" applyProtection="1">
      <alignment horizontal="centerContinuous"/>
      <protection/>
    </xf>
    <xf numFmtId="0" fontId="8" fillId="0" borderId="21" xfId="0" applyFont="1" applyBorder="1" applyAlignment="1">
      <alignment horizontal="centerContinuous"/>
    </xf>
    <xf numFmtId="0" fontId="9" fillId="0" borderId="21" xfId="0" applyFont="1" applyBorder="1" applyAlignment="1">
      <alignment horizontal="center"/>
    </xf>
    <xf numFmtId="37" fontId="9" fillId="0" borderId="21" xfId="0" applyNumberFormat="1" applyFont="1" applyBorder="1" applyAlignment="1" applyProtection="1">
      <alignment/>
      <protection/>
    </xf>
    <xf numFmtId="37" fontId="6" fillId="0" borderId="21" xfId="0" applyNumberFormat="1" applyFont="1" applyBorder="1" applyAlignment="1" applyProtection="1">
      <alignment/>
      <protection/>
    </xf>
    <xf numFmtId="37" fontId="0" fillId="0" borderId="17" xfId="0" applyNumberFormat="1" applyBorder="1" applyAlignment="1" applyProtection="1">
      <alignment horizontal="right"/>
      <protection/>
    </xf>
    <xf numFmtId="0" fontId="0" fillId="0" borderId="18" xfId="0" applyBorder="1" applyAlignment="1">
      <alignment horizontal="right"/>
    </xf>
    <xf numFmtId="37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6" fillId="0" borderId="21" xfId="0" applyFont="1" applyBorder="1" applyAlignment="1">
      <alignment/>
    </xf>
    <xf numFmtId="37" fontId="0" fillId="0" borderId="0" xfId="0" applyNumberFormat="1" applyAlignment="1" applyProtection="1">
      <alignment horizontal="right"/>
      <protection/>
    </xf>
    <xf numFmtId="166" fontId="0" fillId="0" borderId="0" xfId="0" applyNumberFormat="1" applyBorder="1" applyAlignment="1" applyProtection="1">
      <alignment horizontal="centerContinuous"/>
      <protection/>
    </xf>
    <xf numFmtId="0" fontId="0" fillId="0" borderId="4" xfId="0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right"/>
    </xf>
    <xf numFmtId="180" fontId="0" fillId="0" borderId="4" xfId="15" applyNumberFormat="1" applyBorder="1" applyAlignment="1">
      <alignment horizontal="right"/>
    </xf>
    <xf numFmtId="180" fontId="6" fillId="0" borderId="4" xfId="15" applyNumberFormat="1" applyFont="1" applyBorder="1" applyAlignment="1">
      <alignment/>
    </xf>
    <xf numFmtId="180" fontId="9" fillId="0" borderId="27" xfId="15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6" xfId="0" applyFont="1" applyBorder="1" applyAlignment="1">
      <alignment/>
    </xf>
    <xf numFmtId="0" fontId="23" fillId="0" borderId="28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6" fillId="0" borderId="0" xfId="0" applyFont="1" applyAlignment="1">
      <alignment/>
    </xf>
    <xf numFmtId="180" fontId="16" fillId="0" borderId="17" xfId="15" applyNumberFormat="1" applyFont="1" applyBorder="1" applyAlignment="1">
      <alignment/>
    </xf>
    <xf numFmtId="180" fontId="8" fillId="0" borderId="5" xfId="15" applyNumberFormat="1" applyFont="1" applyBorder="1" applyAlignment="1">
      <alignment/>
    </xf>
    <xf numFmtId="180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18" xfId="0" applyNumberFormat="1" applyFont="1" applyBorder="1" applyAlignment="1">
      <alignment/>
    </xf>
    <xf numFmtId="37" fontId="8" fillId="0" borderId="21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180" fontId="8" fillId="0" borderId="0" xfId="15" applyNumberFormat="1" applyFont="1" applyBorder="1" applyAlignment="1">
      <alignment/>
    </xf>
    <xf numFmtId="37" fontId="0" fillId="0" borderId="12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 horizontal="centerContinuous"/>
      <protection/>
    </xf>
    <xf numFmtId="37" fontId="0" fillId="0" borderId="12" xfId="0" applyNumberFormat="1" applyBorder="1" applyAlignment="1" applyProtection="1">
      <alignment horizontal="centerContinuous"/>
      <protection/>
    </xf>
    <xf numFmtId="37" fontId="0" fillId="0" borderId="10" xfId="0" applyNumberFormat="1" applyBorder="1" applyAlignment="1" applyProtection="1">
      <alignment horizontal="right"/>
      <protection/>
    </xf>
    <xf numFmtId="37" fontId="0" fillId="0" borderId="10" xfId="0" applyNumberFormat="1" applyBorder="1" applyAlignment="1" applyProtection="1">
      <alignment horizontal="centerContinuous"/>
      <protection/>
    </xf>
    <xf numFmtId="37" fontId="0" fillId="0" borderId="6" xfId="0" applyNumberForma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0" fillId="0" borderId="29" xfId="0" applyNumberFormat="1" applyBorder="1" applyAlignment="1" applyProtection="1">
      <alignment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0" fontId="9" fillId="0" borderId="1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right"/>
    </xf>
    <xf numFmtId="0" fontId="6" fillId="0" borderId="5" xfId="0" applyFont="1" applyBorder="1" applyAlignment="1">
      <alignment horizontal="centerContinuous"/>
    </xf>
    <xf numFmtId="166" fontId="6" fillId="0" borderId="5" xfId="0" applyNumberFormat="1" applyFont="1" applyBorder="1" applyAlignment="1" applyProtection="1">
      <alignment horizontal="centerContinuous"/>
      <protection/>
    </xf>
    <xf numFmtId="0" fontId="6" fillId="0" borderId="5" xfId="0" applyFont="1" applyBorder="1" applyAlignment="1">
      <alignment horizontal="center"/>
    </xf>
    <xf numFmtId="37" fontId="6" fillId="0" borderId="23" xfId="0" applyNumberFormat="1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37" fontId="6" fillId="0" borderId="23" xfId="0" applyNumberFormat="1" applyFont="1" applyBorder="1" applyAlignment="1" applyProtection="1">
      <alignment horizontal="right"/>
      <protection/>
    </xf>
    <xf numFmtId="0" fontId="6" fillId="0" borderId="30" xfId="0" applyFont="1" applyBorder="1" applyAlignment="1">
      <alignment horizontal="center"/>
    </xf>
    <xf numFmtId="37" fontId="6" fillId="0" borderId="7" xfId="0" applyNumberFormat="1" applyFont="1" applyBorder="1" applyAlignment="1" applyProtection="1">
      <alignment horizontal="left"/>
      <protection/>
    </xf>
    <xf numFmtId="37" fontId="6" fillId="0" borderId="22" xfId="0" applyNumberFormat="1" applyFont="1" applyBorder="1" applyAlignment="1" applyProtection="1">
      <alignment/>
      <protection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4" xfId="0" applyFont="1" applyBorder="1" applyAlignment="1">
      <alignment/>
    </xf>
    <xf numFmtId="37" fontId="9" fillId="0" borderId="4" xfId="0" applyNumberFormat="1" applyFon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37" fontId="8" fillId="0" borderId="21" xfId="0" applyNumberFormat="1" applyFont="1" applyBorder="1" applyAlignment="1" applyProtection="1">
      <alignment/>
      <protection/>
    </xf>
    <xf numFmtId="0" fontId="23" fillId="0" borderId="1" xfId="0" applyFont="1" applyBorder="1" applyAlignment="1">
      <alignment horizontal="center"/>
    </xf>
    <xf numFmtId="37" fontId="8" fillId="0" borderId="6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180" fontId="8" fillId="0" borderId="5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9" fillId="0" borderId="5" xfId="15" applyNumberFormat="1" applyFont="1" applyBorder="1" applyAlignment="1">
      <alignment/>
    </xf>
    <xf numFmtId="37" fontId="8" fillId="0" borderId="5" xfId="0" applyNumberFormat="1" applyFont="1" applyBorder="1" applyAlignment="1" applyProtection="1">
      <alignment/>
      <protection/>
    </xf>
    <xf numFmtId="180" fontId="8" fillId="0" borderId="14" xfId="15" applyNumberFormat="1" applyFont="1" applyBorder="1" applyAlignment="1">
      <alignment/>
    </xf>
    <xf numFmtId="180" fontId="8" fillId="0" borderId="32" xfId="0" applyNumberFormat="1" applyFont="1" applyBorder="1" applyAlignment="1">
      <alignment/>
    </xf>
    <xf numFmtId="0" fontId="25" fillId="0" borderId="5" xfId="0" applyFont="1" applyBorder="1" applyAlignment="1" quotePrefix="1">
      <alignment horizontal="right"/>
    </xf>
    <xf numFmtId="0" fontId="25" fillId="0" borderId="5" xfId="0" applyFont="1" applyBorder="1" applyAlignment="1">
      <alignment horizontal="right"/>
    </xf>
    <xf numFmtId="37" fontId="11" fillId="0" borderId="12" xfId="0" applyNumberFormat="1" applyFont="1" applyBorder="1" applyAlignment="1" applyProtection="1">
      <alignment/>
      <protection/>
    </xf>
    <xf numFmtId="0" fontId="16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1" xfId="0" applyFont="1" applyBorder="1" applyAlignment="1">
      <alignment/>
    </xf>
    <xf numFmtId="41" fontId="6" fillId="0" borderId="33" xfId="15" applyNumberFormat="1" applyFont="1" applyBorder="1" applyAlignment="1">
      <alignment/>
    </xf>
    <xf numFmtId="41" fontId="0" fillId="0" borderId="10" xfId="15" applyNumberFormat="1" applyFont="1" applyBorder="1" applyAlignment="1">
      <alignment/>
    </xf>
    <xf numFmtId="41" fontId="0" fillId="0" borderId="6" xfId="15" applyNumberFormat="1" applyFont="1" applyBorder="1" applyAlignment="1">
      <alignment/>
    </xf>
    <xf numFmtId="41" fontId="6" fillId="0" borderId="34" xfId="15" applyNumberFormat="1" applyFont="1" applyBorder="1" applyAlignment="1">
      <alignment/>
    </xf>
    <xf numFmtId="41" fontId="6" fillId="0" borderId="21" xfId="15" applyNumberFormat="1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9" fillId="0" borderId="21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10" fillId="0" borderId="35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0" xfId="0" applyFont="1" applyAlignment="1" quotePrefix="1">
      <alignment horizontal="right"/>
    </xf>
    <xf numFmtId="37" fontId="0" fillId="0" borderId="14" xfId="0" applyNumberFormat="1" applyBorder="1" applyAlignment="1">
      <alignment/>
    </xf>
    <xf numFmtId="37" fontId="6" fillId="0" borderId="13" xfId="0" applyNumberFormat="1" applyFont="1" applyBorder="1" applyAlignment="1" applyProtection="1">
      <alignment/>
      <protection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37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 quotePrefix="1">
      <alignment horizontal="left" vertical="center"/>
    </xf>
    <xf numFmtId="37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37" fontId="0" fillId="0" borderId="38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right"/>
    </xf>
    <xf numFmtId="177" fontId="0" fillId="0" borderId="5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5" xfId="0" applyFont="1" applyBorder="1" applyAlignment="1" quotePrefix="1">
      <alignment horizontal="right"/>
    </xf>
    <xf numFmtId="0" fontId="0" fillId="0" borderId="14" xfId="0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center"/>
      <protection/>
    </xf>
    <xf numFmtId="177" fontId="0" fillId="0" borderId="14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/>
      <protection/>
    </xf>
    <xf numFmtId="177" fontId="0" fillId="0" borderId="5" xfId="0" applyNumberFormat="1" applyFont="1" applyBorder="1" applyAlignment="1">
      <alignment/>
    </xf>
    <xf numFmtId="14" fontId="0" fillId="0" borderId="5" xfId="0" applyNumberFormat="1" applyFont="1" applyBorder="1" applyAlignment="1" applyProtection="1">
      <alignment horizontal="center"/>
      <protection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 quotePrefix="1">
      <alignment horizontal="center"/>
    </xf>
    <xf numFmtId="0" fontId="0" fillId="0" borderId="21" xfId="0" applyFont="1" applyBorder="1" applyAlignment="1">
      <alignment horizontal="right"/>
    </xf>
    <xf numFmtId="14" fontId="0" fillId="0" borderId="21" xfId="0" applyNumberFormat="1" applyFont="1" applyBorder="1" applyAlignment="1" applyProtection="1">
      <alignment horizontal="center"/>
      <protection/>
    </xf>
    <xf numFmtId="37" fontId="0" fillId="0" borderId="21" xfId="0" applyNumberFormat="1" applyFont="1" applyBorder="1" applyAlignment="1" applyProtection="1">
      <alignment/>
      <protection/>
    </xf>
    <xf numFmtId="14" fontId="0" fillId="0" borderId="0" xfId="0" applyNumberFormat="1" applyFont="1" applyAlignment="1" quotePrefix="1">
      <alignment horizontal="center"/>
    </xf>
    <xf numFmtId="14" fontId="0" fillId="0" borderId="5" xfId="0" applyNumberFormat="1" applyFont="1" applyBorder="1" applyAlignment="1">
      <alignment/>
    </xf>
    <xf numFmtId="37" fontId="0" fillId="0" borderId="7" xfId="0" applyNumberFormat="1" applyFont="1" applyBorder="1" applyAlignment="1" applyProtection="1">
      <alignment horizontal="left"/>
      <protection/>
    </xf>
    <xf numFmtId="37" fontId="0" fillId="0" borderId="7" xfId="0" applyNumberFormat="1" applyFont="1" applyBorder="1" applyAlignment="1" applyProtection="1">
      <alignment/>
      <protection/>
    </xf>
    <xf numFmtId="0" fontId="10" fillId="0" borderId="31" xfId="0" applyFont="1" applyBorder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0" fontId="2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0" fillId="0" borderId="39" xfId="0" applyFont="1" applyBorder="1" applyAlignment="1">
      <alignment horizontal="centerContinuous"/>
    </xf>
    <xf numFmtId="7" fontId="0" fillId="0" borderId="16" xfId="0" applyNumberFormat="1" applyFont="1" applyBorder="1" applyAlignment="1">
      <alignment horizontal="centerContinuous"/>
    </xf>
    <xf numFmtId="7" fontId="0" fillId="0" borderId="18" xfId="0" applyNumberFormat="1" applyFont="1" applyBorder="1" applyAlignment="1">
      <alignment horizontal="centerContinuous"/>
    </xf>
    <xf numFmtId="7" fontId="0" fillId="0" borderId="39" xfId="0" applyNumberFormat="1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7" fontId="0" fillId="0" borderId="0" xfId="0" applyNumberFormat="1" applyFont="1" applyAlignment="1">
      <alignment horizontal="centerContinuous"/>
    </xf>
    <xf numFmtId="7" fontId="28" fillId="0" borderId="0" xfId="0" applyNumberFormat="1" applyFont="1" applyAlignment="1">
      <alignment horizontal="centerContinuous"/>
    </xf>
    <xf numFmtId="0" fontId="4" fillId="0" borderId="18" xfId="0" applyFont="1" applyBorder="1" applyAlignment="1">
      <alignment/>
    </xf>
    <xf numFmtId="0" fontId="6" fillId="0" borderId="0" xfId="0" applyFont="1" applyBorder="1" applyAlignment="1">
      <alignment/>
    </xf>
    <xf numFmtId="37" fontId="8" fillId="0" borderId="0" xfId="17" applyNumberFormat="1" applyFont="1" applyBorder="1" applyAlignment="1">
      <alignment/>
    </xf>
    <xf numFmtId="37" fontId="8" fillId="0" borderId="0" xfId="15" applyNumberFormat="1" applyFont="1" applyBorder="1" applyAlignment="1">
      <alignment/>
    </xf>
    <xf numFmtId="37" fontId="8" fillId="0" borderId="31" xfId="15" applyNumberFormat="1" applyFont="1" applyBorder="1" applyAlignment="1">
      <alignment/>
    </xf>
    <xf numFmtId="37" fontId="9" fillId="0" borderId="21" xfId="15" applyNumberFormat="1" applyFont="1" applyBorder="1" applyAlignment="1">
      <alignment/>
    </xf>
    <xf numFmtId="37" fontId="8" fillId="0" borderId="0" xfId="15" applyNumberFormat="1" applyFont="1" applyAlignment="1">
      <alignment/>
    </xf>
    <xf numFmtId="37" fontId="8" fillId="0" borderId="31" xfId="0" applyNumberFormat="1" applyFont="1" applyBorder="1" applyAlignment="1">
      <alignment/>
    </xf>
    <xf numFmtId="37" fontId="16" fillId="0" borderId="21" xfId="0" applyNumberFormat="1" applyFont="1" applyBorder="1" applyAlignment="1">
      <alignment/>
    </xf>
    <xf numFmtId="37" fontId="8" fillId="0" borderId="41" xfId="15" applyNumberFormat="1" applyFont="1" applyBorder="1" applyAlignment="1">
      <alignment/>
    </xf>
    <xf numFmtId="37" fontId="8" fillId="0" borderId="0" xfId="15" applyNumberFormat="1" applyFont="1" applyBorder="1" applyAlignment="1">
      <alignment horizontal="right"/>
    </xf>
    <xf numFmtId="37" fontId="9" fillId="0" borderId="7" xfId="15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8" fillId="0" borderId="6" xfId="15" applyNumberFormat="1" applyFont="1" applyBorder="1" applyAlignment="1">
      <alignment horizontal="right"/>
    </xf>
    <xf numFmtId="37" fontId="16" fillId="0" borderId="18" xfId="15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5" xfId="0" applyNumberFormat="1" applyFont="1" applyBorder="1" applyAlignment="1" quotePrefix="1">
      <alignment horizontal="centerContinuous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7" fillId="0" borderId="21" xfId="0" applyFont="1" applyBorder="1" applyAlignment="1">
      <alignment horizontal="left"/>
    </xf>
    <xf numFmtId="37" fontId="15" fillId="0" borderId="34" xfId="0" applyNumberFormat="1" applyFont="1" applyBorder="1" applyAlignment="1" applyProtection="1">
      <alignment/>
      <protection/>
    </xf>
    <xf numFmtId="37" fontId="0" fillId="0" borderId="29" xfId="0" applyNumberFormat="1" applyFont="1" applyBorder="1" applyAlignment="1" applyProtection="1">
      <alignment horizontal="right"/>
      <protection/>
    </xf>
    <xf numFmtId="37" fontId="0" fillId="0" borderId="42" xfId="0" applyNumberFormat="1" applyFont="1" applyBorder="1" applyAlignment="1" applyProtection="1">
      <alignment/>
      <protection/>
    </xf>
    <xf numFmtId="37" fontId="0" fillId="0" borderId="42" xfId="0" applyNumberFormat="1" applyFont="1" applyBorder="1" applyAlignment="1" applyProtection="1">
      <alignment horizontal="centerContinuous"/>
      <protection/>
    </xf>
    <xf numFmtId="0" fontId="10" fillId="0" borderId="3" xfId="0" applyFont="1" applyBorder="1" applyAlignment="1">
      <alignment/>
    </xf>
    <xf numFmtId="0" fontId="0" fillId="0" borderId="28" xfId="0" applyNumberFormat="1" applyFont="1" applyBorder="1" applyAlignment="1" quotePrefix="1">
      <alignment horizontal="center" vertical="center"/>
    </xf>
    <xf numFmtId="0" fontId="10" fillId="0" borderId="43" xfId="0" applyFont="1" applyBorder="1" applyAlignment="1">
      <alignment/>
    </xf>
    <xf numFmtId="0" fontId="0" fillId="0" borderId="44" xfId="0" applyNumberFormat="1" applyFont="1" applyBorder="1" applyAlignment="1" quotePrefix="1">
      <alignment horizontal="center"/>
    </xf>
    <xf numFmtId="0" fontId="0" fillId="0" borderId="25" xfId="0" applyNumberFormat="1" applyFont="1" applyBorder="1" applyAlignment="1" quotePrefix="1">
      <alignment horizontal="center" vertical="center"/>
    </xf>
    <xf numFmtId="37" fontId="0" fillId="0" borderId="45" xfId="0" applyNumberFormat="1" applyFont="1" applyBorder="1" applyAlignment="1">
      <alignment/>
    </xf>
    <xf numFmtId="41" fontId="0" fillId="0" borderId="25" xfId="15" applyNumberFormat="1" applyFont="1" applyBorder="1" applyAlignment="1">
      <alignment/>
    </xf>
    <xf numFmtId="37" fontId="0" fillId="0" borderId="46" xfId="0" applyNumberFormat="1" applyFont="1" applyBorder="1" applyAlignment="1">
      <alignment/>
    </xf>
    <xf numFmtId="166" fontId="0" fillId="0" borderId="21" xfId="0" applyNumberFormat="1" applyBorder="1" applyAlignment="1" applyProtection="1" quotePrefix="1">
      <alignment horizontal="centerContinuous"/>
      <protection/>
    </xf>
    <xf numFmtId="166" fontId="0" fillId="0" borderId="21" xfId="0" applyNumberFormat="1" applyBorder="1" applyAlignment="1" applyProtection="1" quotePrefix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25" fillId="0" borderId="4" xfId="0" applyFont="1" applyBorder="1" applyAlignment="1" quotePrefix="1">
      <alignment horizontal="right"/>
    </xf>
    <xf numFmtId="0" fontId="0" fillId="0" borderId="47" xfId="0" applyFont="1" applyBorder="1" applyAlignment="1">
      <alignment/>
    </xf>
    <xf numFmtId="49" fontId="17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right"/>
    </xf>
    <xf numFmtId="0" fontId="25" fillId="0" borderId="17" xfId="0" applyFont="1" applyBorder="1" applyAlignment="1" quotePrefix="1">
      <alignment horizontal="right"/>
    </xf>
    <xf numFmtId="0" fontId="25" fillId="0" borderId="17" xfId="0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37" fontId="0" fillId="0" borderId="16" xfId="0" applyNumberFormat="1" applyBorder="1" applyAlignment="1" applyProtection="1">
      <alignment/>
      <protection/>
    </xf>
    <xf numFmtId="177" fontId="0" fillId="0" borderId="48" xfId="0" applyNumberFormat="1" applyFont="1" applyBorder="1" applyAlignment="1" applyProtection="1">
      <alignment horizontal="center"/>
      <protection/>
    </xf>
    <xf numFmtId="37" fontId="0" fillId="0" borderId="47" xfId="0" applyNumberFormat="1" applyFont="1" applyBorder="1" applyAlignment="1" applyProtection="1">
      <alignment/>
      <protection/>
    </xf>
    <xf numFmtId="14" fontId="0" fillId="0" borderId="5" xfId="0" applyNumberFormat="1" applyBorder="1" applyAlignment="1">
      <alignment horizontal="center"/>
    </xf>
    <xf numFmtId="41" fontId="0" fillId="0" borderId="1" xfId="15" applyNumberFormat="1" applyFont="1" applyBorder="1" applyAlignment="1">
      <alignment/>
    </xf>
    <xf numFmtId="41" fontId="0" fillId="0" borderId="2" xfId="15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37" fontId="0" fillId="0" borderId="5" xfId="0" applyNumberFormat="1" applyFont="1" applyBorder="1" applyAlignment="1">
      <alignment horizontal="right"/>
    </xf>
    <xf numFmtId="169" fontId="29" fillId="0" borderId="21" xfId="0" applyNumberFormat="1" applyFont="1" applyBorder="1" applyAlignment="1" applyProtection="1">
      <alignment/>
      <protection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centerContinuous"/>
    </xf>
    <xf numFmtId="0" fontId="30" fillId="0" borderId="21" xfId="0" applyFont="1" applyBorder="1" applyAlignment="1">
      <alignment horizontal="centerContinuous"/>
    </xf>
    <xf numFmtId="166" fontId="30" fillId="0" borderId="21" xfId="0" applyNumberFormat="1" applyFont="1" applyBorder="1" applyAlignment="1" applyProtection="1">
      <alignment horizontal="centerContinuous"/>
      <protection/>
    </xf>
    <xf numFmtId="169" fontId="29" fillId="0" borderId="21" xfId="0" applyNumberFormat="1" applyFont="1" applyBorder="1" applyAlignment="1" applyProtection="1">
      <alignment horizontal="centerContinuous"/>
      <protection/>
    </xf>
    <xf numFmtId="37" fontId="0" fillId="0" borderId="21" xfId="0" applyNumberFormat="1" applyFont="1" applyBorder="1" applyAlignment="1">
      <alignment horizontal="right"/>
    </xf>
    <xf numFmtId="37" fontId="0" fillId="0" borderId="32" xfId="0" applyNumberFormat="1" applyBorder="1" applyAlignment="1" applyProtection="1">
      <alignment horizontal="right"/>
      <protection/>
    </xf>
    <xf numFmtId="0" fontId="11" fillId="0" borderId="28" xfId="0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166" fontId="0" fillId="0" borderId="21" xfId="0" applyNumberFormat="1" applyBorder="1" applyAlignment="1" applyProtection="1">
      <alignment horizontal="center"/>
      <protection/>
    </xf>
    <xf numFmtId="166" fontId="0" fillId="0" borderId="21" xfId="0" applyNumberFormat="1" applyBorder="1" applyAlignment="1" applyProtection="1">
      <alignment horizontal="centerContinuous"/>
      <protection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173" fontId="0" fillId="0" borderId="44" xfId="0" applyNumberFormat="1" applyFont="1" applyBorder="1" applyAlignment="1">
      <alignment horizontal="center"/>
    </xf>
    <xf numFmtId="37" fontId="0" fillId="0" borderId="49" xfId="0" applyNumberFormat="1" applyBorder="1" applyAlignment="1" applyProtection="1">
      <alignment/>
      <protection/>
    </xf>
    <xf numFmtId="37" fontId="0" fillId="0" borderId="40" xfId="0" applyNumberFormat="1" applyBorder="1" applyAlignment="1" applyProtection="1">
      <alignment/>
      <protection/>
    </xf>
    <xf numFmtId="0" fontId="0" fillId="0" borderId="36" xfId="0" applyBorder="1" applyAlignment="1">
      <alignment/>
    </xf>
    <xf numFmtId="0" fontId="10" fillId="0" borderId="15" xfId="0" applyFont="1" applyBorder="1" applyAlignment="1">
      <alignment/>
    </xf>
    <xf numFmtId="0" fontId="0" fillId="0" borderId="47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177" fontId="0" fillId="0" borderId="0" xfId="0" applyNumberFormat="1" applyFont="1" applyBorder="1" applyAlignment="1" applyProtection="1">
      <alignment horizontal="center"/>
      <protection/>
    </xf>
    <xf numFmtId="37" fontId="0" fillId="0" borderId="50" xfId="0" applyNumberFormat="1" applyFont="1" applyBorder="1" applyAlignment="1" applyProtection="1">
      <alignment/>
      <protection/>
    </xf>
    <xf numFmtId="37" fontId="0" fillId="0" borderId="51" xfId="0" applyNumberFormat="1" applyFont="1" applyBorder="1" applyAlignment="1" applyProtection="1">
      <alignment/>
      <protection/>
    </xf>
    <xf numFmtId="37" fontId="6" fillId="0" borderId="52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7" fontId="15" fillId="0" borderId="0" xfId="0" applyNumberFormat="1" applyFont="1" applyBorder="1" applyAlignment="1" applyProtection="1">
      <alignment/>
      <protection/>
    </xf>
    <xf numFmtId="49" fontId="4" fillId="0" borderId="0" xfId="21" applyNumberFormat="1">
      <alignment/>
      <protection/>
    </xf>
    <xf numFmtId="0" fontId="4" fillId="0" borderId="0" xfId="21">
      <alignment/>
      <protection/>
    </xf>
    <xf numFmtId="37" fontId="0" fillId="0" borderId="53" xfId="0" applyNumberFormat="1" applyFont="1" applyBorder="1" applyAlignment="1" applyProtection="1">
      <alignment horizontal="right"/>
      <protection/>
    </xf>
    <xf numFmtId="37" fontId="0" fillId="0" borderId="54" xfId="0" applyNumberFormat="1" applyFont="1" applyBorder="1" applyAlignment="1" applyProtection="1">
      <alignment/>
      <protection/>
    </xf>
    <xf numFmtId="37" fontId="0" fillId="0" borderId="54" xfId="0" applyNumberFormat="1" applyFont="1" applyBorder="1" applyAlignment="1" applyProtection="1">
      <alignment horizontal="centerContinuous"/>
      <protection/>
    </xf>
    <xf numFmtId="0" fontId="23" fillId="0" borderId="0" xfId="0" applyFont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49" fontId="14" fillId="0" borderId="0" xfId="0" applyNumberFormat="1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3" fillId="0" borderId="29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AS ASCI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64"/>
  <sheetViews>
    <sheetView tabSelected="1" view="pageBreakPreview" zoomScale="75" zoomScaleNormal="65" zoomScaleSheetLayoutView="75" workbookViewId="0" topLeftCell="A1">
      <selection activeCell="A2" sqref="A2:M2"/>
    </sheetView>
  </sheetViews>
  <sheetFormatPr defaultColWidth="8.88671875" defaultRowHeight="15"/>
  <cols>
    <col min="1" max="3" width="2.77734375" style="0" customWidth="1"/>
    <col min="4" max="4" width="40.88671875" style="0" customWidth="1"/>
    <col min="5" max="5" width="4.88671875" style="0" customWidth="1"/>
    <col min="6" max="6" width="14.88671875" style="0" customWidth="1"/>
    <col min="7" max="7" width="4.88671875" style="0" customWidth="1"/>
    <col min="8" max="8" width="4.99609375" style="0" customWidth="1"/>
    <col min="9" max="9" width="14.99609375" style="0" customWidth="1"/>
    <col min="10" max="10" width="4.99609375" style="0" customWidth="1"/>
    <col min="11" max="11" width="4.88671875" style="0" customWidth="1"/>
    <col min="12" max="12" width="16.5546875" style="0" customWidth="1"/>
    <col min="13" max="13" width="4.77734375" style="0" customWidth="1"/>
  </cols>
  <sheetData>
    <row r="1" spans="1:235" ht="37.5">
      <c r="A1" s="432" t="s">
        <v>1176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40.5" customHeight="1">
      <c r="A2" s="432" t="s">
        <v>858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4" spans="1:235" ht="32.25" customHeight="1">
      <c r="A4" s="434" t="s">
        <v>254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</row>
    <row r="5" spans="1:235" ht="20.25" customHeight="1" thickBot="1">
      <c r="A5" s="435" t="s">
        <v>860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</row>
    <row r="6" spans="1:235" ht="16.5" customHeight="1" thickTop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</row>
    <row r="7" spans="1:13" ht="23.25">
      <c r="A7" s="459" t="s">
        <v>255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</row>
    <row r="8" spans="1:11" ht="8.25" customHeight="1">
      <c r="A8" s="5"/>
      <c r="B8" s="6"/>
      <c r="C8" s="6"/>
      <c r="D8" s="6"/>
      <c r="E8" s="6"/>
      <c r="F8" s="3"/>
      <c r="G8" s="3"/>
      <c r="H8" s="3"/>
      <c r="I8" s="3"/>
      <c r="J8" s="3"/>
      <c r="K8" s="3"/>
    </row>
    <row r="9" spans="1:13" ht="16.5" customHeight="1">
      <c r="A9" s="430" t="s">
        <v>1020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</row>
    <row r="10" spans="1:13" ht="20.25">
      <c r="A10" s="190"/>
      <c r="B10" s="190"/>
      <c r="C10" s="190"/>
      <c r="D10" s="190"/>
      <c r="E10" s="437" t="s">
        <v>46</v>
      </c>
      <c r="F10" s="438"/>
      <c r="G10" s="438"/>
      <c r="H10" s="439"/>
      <c r="I10" s="439"/>
      <c r="J10" s="440"/>
      <c r="K10" s="242"/>
      <c r="L10" s="244"/>
      <c r="M10" s="244"/>
    </row>
    <row r="11" spans="1:13" ht="20.25">
      <c r="A11" s="428" t="s">
        <v>861</v>
      </c>
      <c r="B11" s="428"/>
      <c r="C11" s="428"/>
      <c r="D11" s="446"/>
      <c r="E11" s="441" t="s">
        <v>49</v>
      </c>
      <c r="F11" s="445"/>
      <c r="G11" s="446"/>
      <c r="H11" s="441" t="s">
        <v>47</v>
      </c>
      <c r="I11" s="445"/>
      <c r="J11" s="446"/>
      <c r="K11" s="441" t="s">
        <v>43</v>
      </c>
      <c r="L11" s="442"/>
      <c r="M11" s="442"/>
    </row>
    <row r="12" spans="1:13" ht="20.25">
      <c r="A12" s="191"/>
      <c r="B12" s="191"/>
      <c r="C12" s="191"/>
      <c r="D12" s="192"/>
      <c r="E12" s="447" t="s">
        <v>172</v>
      </c>
      <c r="F12" s="448"/>
      <c r="G12" s="449"/>
      <c r="H12" s="447" t="s">
        <v>48</v>
      </c>
      <c r="I12" s="448"/>
      <c r="J12" s="449"/>
      <c r="K12" s="193"/>
      <c r="L12" s="194"/>
      <c r="M12" s="72"/>
    </row>
    <row r="13" spans="1:12" ht="18">
      <c r="A13" s="104" t="s">
        <v>864</v>
      </c>
      <c r="D13" s="12"/>
      <c r="E13" s="10"/>
      <c r="F13" s="11"/>
      <c r="G13" s="12"/>
      <c r="H13" s="10"/>
      <c r="J13" s="12"/>
      <c r="K13" s="10"/>
      <c r="L13" s="11"/>
    </row>
    <row r="14" spans="2:12" ht="19.5" customHeight="1">
      <c r="B14" s="104" t="s">
        <v>1110</v>
      </c>
      <c r="D14" s="25"/>
      <c r="E14" s="162" t="s">
        <v>859</v>
      </c>
      <c r="F14" s="348">
        <f>SUM(Marketable!O56)-I14</f>
        <v>962514.165</v>
      </c>
      <c r="G14" s="187"/>
      <c r="H14" s="162"/>
      <c r="I14" s="118">
        <v>30.4</v>
      </c>
      <c r="J14" s="183"/>
      <c r="K14" s="197"/>
      <c r="L14" s="341">
        <f>Marketable!O56</f>
        <v>962544.5650000001</v>
      </c>
    </row>
    <row r="15" spans="2:12" ht="19.5" customHeight="1">
      <c r="B15" s="104" t="s">
        <v>189</v>
      </c>
      <c r="D15" s="25"/>
      <c r="E15" s="253" t="s">
        <v>859</v>
      </c>
      <c r="F15" s="348">
        <f>SUM(Marketable!O154)-I15</f>
        <v>2067221.0499129998</v>
      </c>
      <c r="G15" s="374"/>
      <c r="H15" s="252"/>
      <c r="I15" s="118">
        <v>44.669687</v>
      </c>
      <c r="J15" s="374"/>
      <c r="K15" s="197"/>
      <c r="L15" s="341">
        <f>Marketable!O154</f>
        <v>2067265.7196</v>
      </c>
    </row>
    <row r="16" spans="2:12" ht="19.5" customHeight="1">
      <c r="B16" s="104" t="s">
        <v>190</v>
      </c>
      <c r="D16" s="25"/>
      <c r="E16" s="253" t="s">
        <v>859</v>
      </c>
      <c r="F16" s="348">
        <f>SUM(Marketable!O249)-I16</f>
        <v>555915.7152</v>
      </c>
      <c r="G16" s="374"/>
      <c r="H16" s="252"/>
      <c r="I16" s="118">
        <v>140.671</v>
      </c>
      <c r="J16" s="374"/>
      <c r="K16" s="197"/>
      <c r="L16" s="341">
        <f>+Marketable!O249</f>
        <v>556056.3862</v>
      </c>
    </row>
    <row r="17" spans="2:12" ht="19.5" customHeight="1">
      <c r="B17" s="104" t="s">
        <v>697</v>
      </c>
      <c r="D17" s="25"/>
      <c r="E17" s="162" t="s">
        <v>859</v>
      </c>
      <c r="F17" s="348">
        <f>+Marketable!O281</f>
        <v>222608.84492146998</v>
      </c>
      <c r="G17" s="187"/>
      <c r="H17" s="162"/>
      <c r="I17" s="119">
        <v>0</v>
      </c>
      <c r="J17" s="183"/>
      <c r="K17" s="197"/>
      <c r="L17" s="341">
        <f>+Marketable!O281</f>
        <v>222608.84492146998</v>
      </c>
    </row>
    <row r="18" spans="1:12" s="74" customFormat="1" ht="21.75" thickBot="1">
      <c r="A18" s="149" t="s">
        <v>1111</v>
      </c>
      <c r="D18" s="184"/>
      <c r="E18" s="186" t="s">
        <v>859</v>
      </c>
      <c r="F18" s="349">
        <f>SUM(F14:F17)</f>
        <v>3808259.77503447</v>
      </c>
      <c r="G18" s="188"/>
      <c r="H18" s="252">
        <v>1</v>
      </c>
      <c r="I18" s="343">
        <f>SUM(I14:I17)</f>
        <v>215.74068699999998</v>
      </c>
      <c r="J18" s="184"/>
      <c r="K18" s="248"/>
      <c r="L18" s="349">
        <f>Marketable!O283</f>
        <v>3808475.5157214697</v>
      </c>
    </row>
    <row r="19" spans="4:12" ht="15.75" thickTop="1">
      <c r="D19" s="25"/>
      <c r="E19" s="14"/>
      <c r="F19" s="350"/>
      <c r="G19" s="25"/>
      <c r="H19" s="14"/>
      <c r="I19" s="353"/>
      <c r="J19" s="25"/>
      <c r="K19" s="14"/>
      <c r="L19" s="350"/>
    </row>
    <row r="20" spans="1:12" ht="18">
      <c r="A20" s="104" t="s">
        <v>866</v>
      </c>
      <c r="D20" s="25"/>
      <c r="E20" s="14"/>
      <c r="F20" s="350"/>
      <c r="G20" s="25"/>
      <c r="H20" s="14"/>
      <c r="I20" s="353"/>
      <c r="J20" s="25"/>
      <c r="K20" s="14"/>
      <c r="L20" s="350"/>
    </row>
    <row r="21" spans="2:12" ht="19.5" customHeight="1">
      <c r="B21" s="104" t="s">
        <v>1112</v>
      </c>
      <c r="D21" s="25"/>
      <c r="E21" s="162" t="s">
        <v>859</v>
      </c>
      <c r="F21" s="348">
        <f>Nonmarketable!O18</f>
        <v>29995.179999999997</v>
      </c>
      <c r="G21" s="187"/>
      <c r="H21" s="162"/>
      <c r="I21" s="118">
        <v>0</v>
      </c>
      <c r="J21" s="183"/>
      <c r="K21" s="197"/>
      <c r="L21" s="341">
        <f>Nonmarketable!O18</f>
        <v>29995.179999999997</v>
      </c>
    </row>
    <row r="22" spans="2:12" ht="19.5" customHeight="1">
      <c r="B22" s="104" t="s">
        <v>1113</v>
      </c>
      <c r="D22" s="25"/>
      <c r="E22" s="162" t="s">
        <v>859</v>
      </c>
      <c r="F22" s="348">
        <f>Nonmarketable!O26</f>
        <v>6431.364589999999</v>
      </c>
      <c r="G22" s="187"/>
      <c r="H22" s="162"/>
      <c r="I22" s="118">
        <v>0</v>
      </c>
      <c r="J22" s="183"/>
      <c r="K22" s="197"/>
      <c r="L22" s="341">
        <f>Nonmarketable!O26</f>
        <v>6431.364589999999</v>
      </c>
    </row>
    <row r="23" spans="2:12" ht="19.5" customHeight="1">
      <c r="B23" s="104" t="s">
        <v>477</v>
      </c>
      <c r="D23" s="25"/>
      <c r="E23" s="162" t="s">
        <v>859</v>
      </c>
      <c r="F23" s="348">
        <f>SUM(Nonmarketable!O31)</f>
        <v>1.0530000000000044</v>
      </c>
      <c r="G23" s="187"/>
      <c r="H23" s="162"/>
      <c r="I23" s="118">
        <v>0</v>
      </c>
      <c r="J23" s="183"/>
      <c r="K23" s="197"/>
      <c r="L23" s="341">
        <f>Nonmarketable!O31</f>
        <v>1.0530000000000044</v>
      </c>
    </row>
    <row r="24" spans="2:12" ht="19.5" customHeight="1">
      <c r="B24" s="104" t="s">
        <v>478</v>
      </c>
      <c r="D24" s="25"/>
      <c r="E24" s="162" t="s">
        <v>859</v>
      </c>
      <c r="F24" s="348">
        <f>SUM(Nonmarketable!O43)</f>
        <v>156803.29789324003</v>
      </c>
      <c r="G24" s="187"/>
      <c r="H24" s="162"/>
      <c r="I24" s="118">
        <v>0</v>
      </c>
      <c r="J24" s="183"/>
      <c r="K24" s="197"/>
      <c r="L24" s="341">
        <f>Nonmarketable!O43</f>
        <v>156803.29789324003</v>
      </c>
    </row>
    <row r="25" spans="2:12" ht="19.5" customHeight="1">
      <c r="B25" s="104" t="s">
        <v>274</v>
      </c>
      <c r="D25" s="25"/>
      <c r="E25" s="162" t="s">
        <v>859</v>
      </c>
      <c r="F25" s="348">
        <f>Nonmarketable!O62</f>
        <v>204558.5430685799</v>
      </c>
      <c r="G25" s="187"/>
      <c r="H25" s="162"/>
      <c r="I25" s="118">
        <v>0</v>
      </c>
      <c r="J25" s="183"/>
      <c r="K25" s="197"/>
      <c r="L25" s="341">
        <f>Nonmarketable!O62</f>
        <v>204558.5430685799</v>
      </c>
    </row>
    <row r="26" spans="2:12" ht="19.5" customHeight="1">
      <c r="B26" s="104" t="s">
        <v>244</v>
      </c>
      <c r="D26" s="25"/>
      <c r="E26" s="162" t="s">
        <v>859</v>
      </c>
      <c r="F26" s="348">
        <f>+GAS!L45</f>
        <v>57293.64049777001</v>
      </c>
      <c r="G26" s="187"/>
      <c r="H26" s="253"/>
      <c r="I26" s="118">
        <f>+GAS!L261</f>
        <v>3048437.5703068487</v>
      </c>
      <c r="J26" s="183"/>
      <c r="K26" s="197"/>
      <c r="L26" s="341">
        <f>GAS!L262</f>
        <v>3105732.2108046184</v>
      </c>
    </row>
    <row r="27" spans="2:12" ht="19.5" customHeight="1">
      <c r="B27" s="104" t="s">
        <v>245</v>
      </c>
      <c r="D27" s="25"/>
      <c r="E27" s="162" t="s">
        <v>859</v>
      </c>
      <c r="F27" s="351">
        <f>SUM(GAS!L277)</f>
        <v>4570.24619534</v>
      </c>
      <c r="G27" s="187"/>
      <c r="H27" s="162"/>
      <c r="I27" s="119">
        <v>0</v>
      </c>
      <c r="J27" s="183"/>
      <c r="K27" s="249"/>
      <c r="L27" s="243">
        <f>GAS!L277</f>
        <v>4570.24619534</v>
      </c>
    </row>
    <row r="28" spans="1:12" s="74" customFormat="1" ht="21.75" thickBot="1">
      <c r="A28" s="149" t="s">
        <v>989</v>
      </c>
      <c r="D28" s="184"/>
      <c r="E28" s="186" t="s">
        <v>859</v>
      </c>
      <c r="F28" s="349">
        <f>SUM(F21:F27)+1</f>
        <v>459654.3252449299</v>
      </c>
      <c r="G28" s="188"/>
      <c r="H28" s="185"/>
      <c r="I28" s="237">
        <f>SUM(I21:I27)</f>
        <v>3048437.5703068487</v>
      </c>
      <c r="J28" s="184"/>
      <c r="K28" s="248"/>
      <c r="L28" s="349">
        <f>GAS!L279</f>
        <v>3508091.8955517784</v>
      </c>
    </row>
    <row r="29" spans="4:12" ht="15.75" thickTop="1">
      <c r="D29" s="25"/>
      <c r="E29" s="14"/>
      <c r="F29" s="350"/>
      <c r="G29" s="25"/>
      <c r="H29" s="14"/>
      <c r="I29" s="353"/>
      <c r="J29" s="25"/>
      <c r="K29" s="14"/>
      <c r="L29" s="350"/>
    </row>
    <row r="30" spans="1:13" s="74" customFormat="1" ht="21.75">
      <c r="A30" s="255" t="s">
        <v>691</v>
      </c>
      <c r="B30" s="256"/>
      <c r="C30" s="256"/>
      <c r="D30" s="257"/>
      <c r="E30" s="380" t="s">
        <v>859</v>
      </c>
      <c r="F30" s="352">
        <f>F18+F28-1</f>
        <v>4267913.1002794</v>
      </c>
      <c r="G30" s="189"/>
      <c r="H30" s="379"/>
      <c r="I30" s="352">
        <f>+I18+I28+1</f>
        <v>3048654.310993849</v>
      </c>
      <c r="J30" s="400"/>
      <c r="K30" s="196"/>
      <c r="L30" s="352">
        <f>GAS!L281</f>
        <v>7316568.4112732485</v>
      </c>
      <c r="M30" s="401"/>
    </row>
    <row r="31" spans="1:13" ht="46.5" customHeight="1">
      <c r="A31" s="443" t="s">
        <v>256</v>
      </c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</row>
    <row r="32" spans="1:13" ht="17.25" customHeight="1">
      <c r="A32" s="451" t="s">
        <v>870</v>
      </c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</row>
    <row r="33" spans="1:13" ht="20.25">
      <c r="A33" s="190"/>
      <c r="B33" s="190"/>
      <c r="C33" s="190"/>
      <c r="D33" s="190"/>
      <c r="E33" s="453" t="s">
        <v>46</v>
      </c>
      <c r="F33" s="454"/>
      <c r="G33" s="454"/>
      <c r="H33" s="455"/>
      <c r="I33" s="455"/>
      <c r="J33" s="456"/>
      <c r="K33" s="238"/>
      <c r="L33" s="238"/>
      <c r="M33" s="123"/>
    </row>
    <row r="34" spans="1:13" ht="20.25">
      <c r="A34" s="428"/>
      <c r="B34" s="428"/>
      <c r="C34" s="428"/>
      <c r="D34" s="446"/>
      <c r="E34" s="441" t="s">
        <v>49</v>
      </c>
      <c r="F34" s="445"/>
      <c r="G34" s="446"/>
      <c r="H34" s="441" t="s">
        <v>47</v>
      </c>
      <c r="I34" s="445"/>
      <c r="J34" s="446"/>
      <c r="K34" s="441" t="s">
        <v>43</v>
      </c>
      <c r="L34" s="444"/>
      <c r="M34" s="444"/>
    </row>
    <row r="35" spans="1:13" ht="20.25">
      <c r="A35" s="203"/>
      <c r="B35" s="203"/>
      <c r="C35" s="203"/>
      <c r="D35" s="204"/>
      <c r="E35" s="447" t="s">
        <v>172</v>
      </c>
      <c r="F35" s="448"/>
      <c r="G35" s="449"/>
      <c r="H35" s="447" t="s">
        <v>48</v>
      </c>
      <c r="I35" s="448"/>
      <c r="J35" s="449"/>
      <c r="K35" s="194"/>
      <c r="L35" s="194"/>
      <c r="M35" s="280"/>
    </row>
    <row r="36" spans="1:13" ht="18">
      <c r="A36" s="104" t="s">
        <v>32</v>
      </c>
      <c r="B36" s="104"/>
      <c r="C36" s="104"/>
      <c r="D36" s="123"/>
      <c r="E36" s="239"/>
      <c r="F36" s="105"/>
      <c r="G36" s="240"/>
      <c r="H36" s="206"/>
      <c r="I36" s="206"/>
      <c r="J36" s="240"/>
      <c r="K36" s="77"/>
      <c r="L36" s="77"/>
      <c r="M36" s="77"/>
    </row>
    <row r="37" spans="1:13" ht="19.5" customHeight="1">
      <c r="A37" s="104"/>
      <c r="B37" s="104" t="s">
        <v>990</v>
      </c>
      <c r="C37" s="104"/>
      <c r="D37" s="123"/>
      <c r="E37" s="205" t="s">
        <v>859</v>
      </c>
      <c r="F37" s="340">
        <f>+F30</f>
        <v>4267913.1002794</v>
      </c>
      <c r="G37" s="207"/>
      <c r="H37" s="206"/>
      <c r="I37" s="340">
        <f>+I30</f>
        <v>3048654.310993849</v>
      </c>
      <c r="J37" s="207"/>
      <c r="K37" s="198"/>
      <c r="L37" s="199">
        <f>+L30</f>
        <v>7316568.4112732485</v>
      </c>
      <c r="M37" s="77"/>
    </row>
    <row r="38" spans="1:13" ht="19.5" customHeight="1">
      <c r="A38" s="104"/>
      <c r="B38" s="104" t="s">
        <v>45</v>
      </c>
      <c r="C38" s="104"/>
      <c r="D38" s="123"/>
      <c r="E38" s="205"/>
      <c r="F38" s="341"/>
      <c r="G38" s="207"/>
      <c r="H38" s="206"/>
      <c r="I38" s="341"/>
      <c r="J38" s="207"/>
      <c r="K38" s="104"/>
      <c r="L38" s="199"/>
      <c r="M38" s="77"/>
    </row>
    <row r="39" spans="1:13" ht="19.5" customHeight="1">
      <c r="A39" s="104"/>
      <c r="B39" s="104"/>
      <c r="C39" s="104" t="s">
        <v>991</v>
      </c>
      <c r="D39" s="123"/>
      <c r="E39" s="205" t="s">
        <v>859</v>
      </c>
      <c r="F39" s="341">
        <f>+GAS!L270</f>
        <v>513.10714193</v>
      </c>
      <c r="G39" s="207"/>
      <c r="H39" s="206"/>
      <c r="I39" s="118">
        <v>0</v>
      </c>
      <c r="J39" s="207"/>
      <c r="K39" s="199"/>
      <c r="L39" s="199">
        <f>SUM(GAS!L270)</f>
        <v>513.10714193</v>
      </c>
      <c r="M39" s="77"/>
    </row>
    <row r="40" spans="1:13" ht="19.5" customHeight="1">
      <c r="A40" s="104"/>
      <c r="B40" s="104"/>
      <c r="C40" s="104" t="s">
        <v>125</v>
      </c>
      <c r="D40" s="123"/>
      <c r="E40" s="205" t="s">
        <v>859</v>
      </c>
      <c r="F40" s="341">
        <f>44895.35587505-I40</f>
        <v>29636.75649516</v>
      </c>
      <c r="G40" s="207"/>
      <c r="H40" s="206"/>
      <c r="I40" s="341">
        <v>15258.59937989</v>
      </c>
      <c r="J40" s="207"/>
      <c r="K40" s="208"/>
      <c r="L40" s="344">
        <f>F40+I40</f>
        <v>44895.35587505</v>
      </c>
      <c r="M40" s="77"/>
    </row>
    <row r="41" spans="1:13" ht="19.5" customHeight="1" thickBot="1">
      <c r="A41" s="104"/>
      <c r="B41" s="104" t="s">
        <v>992</v>
      </c>
      <c r="C41" s="104"/>
      <c r="D41" s="123"/>
      <c r="E41" s="205" t="s">
        <v>859</v>
      </c>
      <c r="F41" s="342">
        <f>+F37-F39-F40+1</f>
        <v>4237764.23664231</v>
      </c>
      <c r="G41" s="207"/>
      <c r="H41" s="206"/>
      <c r="I41" s="342">
        <f>+I37-I39-I40</f>
        <v>3033395.7116139587</v>
      </c>
      <c r="J41" s="207"/>
      <c r="K41" s="245"/>
      <c r="L41" s="345">
        <f>SUM(L37-L39-L40)-1</f>
        <v>7271158.948256269</v>
      </c>
      <c r="M41" s="77"/>
    </row>
    <row r="42" spans="1:13" ht="18.75" thickTop="1">
      <c r="A42" s="104"/>
      <c r="B42" s="104"/>
      <c r="C42" s="104"/>
      <c r="D42" s="123"/>
      <c r="E42" s="205"/>
      <c r="F42" s="341"/>
      <c r="G42" s="207"/>
      <c r="H42" s="206"/>
      <c r="I42" s="341"/>
      <c r="J42" s="207"/>
      <c r="K42" s="206"/>
      <c r="L42" s="277"/>
      <c r="M42" s="77"/>
    </row>
    <row r="43" spans="1:13" ht="18">
      <c r="A43" s="104"/>
      <c r="B43" s="104" t="s">
        <v>44</v>
      </c>
      <c r="C43" s="104"/>
      <c r="D43" s="123"/>
      <c r="E43" s="205"/>
      <c r="F43" s="341"/>
      <c r="G43" s="207"/>
      <c r="H43" s="206"/>
      <c r="I43" s="341"/>
      <c r="J43" s="207"/>
      <c r="K43" s="206"/>
      <c r="L43" s="277"/>
      <c r="M43" s="77"/>
    </row>
    <row r="44" spans="1:13" ht="21" customHeight="1" thickBot="1">
      <c r="A44" s="104"/>
      <c r="B44" s="104"/>
      <c r="C44" s="104" t="s">
        <v>126</v>
      </c>
      <c r="D44" s="123"/>
      <c r="E44" s="205" t="s">
        <v>859</v>
      </c>
      <c r="F44" s="241">
        <v>168.99956747</v>
      </c>
      <c r="G44" s="207"/>
      <c r="H44" s="206"/>
      <c r="I44" s="241">
        <v>0</v>
      </c>
      <c r="J44" s="207"/>
      <c r="K44" s="246"/>
      <c r="L44" s="201">
        <f>SUM(F44,I44)</f>
        <v>168.99956747</v>
      </c>
      <c r="M44" s="77"/>
    </row>
    <row r="45" spans="1:13" ht="18.75" thickTop="1">
      <c r="A45" s="104"/>
      <c r="B45" s="104"/>
      <c r="C45" s="104"/>
      <c r="D45" s="123"/>
      <c r="E45" s="205"/>
      <c r="F45" s="341"/>
      <c r="G45" s="207"/>
      <c r="H45" s="206"/>
      <c r="I45" s="341"/>
      <c r="J45" s="207"/>
      <c r="K45" s="206"/>
      <c r="L45" s="199"/>
      <c r="M45" s="77"/>
    </row>
    <row r="46" spans="1:13" ht="21" thickBot="1">
      <c r="A46" s="190"/>
      <c r="B46" s="195" t="s">
        <v>992</v>
      </c>
      <c r="C46" s="190"/>
      <c r="D46" s="203"/>
      <c r="E46" s="205" t="s">
        <v>859</v>
      </c>
      <c r="F46" s="343">
        <f>+F41+F44</f>
        <v>4237933.23620978</v>
      </c>
      <c r="G46" s="207"/>
      <c r="H46" s="206"/>
      <c r="I46" s="343">
        <f>+I41+I44</f>
        <v>3033395.7116139587</v>
      </c>
      <c r="J46" s="207"/>
      <c r="K46" s="247"/>
      <c r="L46" s="346">
        <f>SUM(L41+L44)</f>
        <v>7271327.947823739</v>
      </c>
      <c r="M46" s="77"/>
    </row>
    <row r="47" spans="1:13" ht="22.5" thickBot="1" thickTop="1">
      <c r="A47" s="77"/>
      <c r="B47" s="104" t="s">
        <v>545</v>
      </c>
      <c r="C47" s="77"/>
      <c r="D47" s="77"/>
      <c r="E47" s="77"/>
      <c r="F47" s="77"/>
      <c r="G47" s="77"/>
      <c r="H47" s="77"/>
      <c r="I47" s="77"/>
      <c r="J47" s="77"/>
      <c r="K47" s="250" t="s">
        <v>859</v>
      </c>
      <c r="L47" s="347">
        <v>7384000</v>
      </c>
      <c r="M47" s="77"/>
    </row>
    <row r="48" spans="1:13" ht="18.75" thickTop="1">
      <c r="A48" s="280"/>
      <c r="B48" s="202" t="s">
        <v>997</v>
      </c>
      <c r="C48" s="280"/>
      <c r="D48" s="280"/>
      <c r="E48" s="280"/>
      <c r="F48" s="280"/>
      <c r="G48" s="280"/>
      <c r="H48" s="280"/>
      <c r="I48" s="280"/>
      <c r="J48" s="280"/>
      <c r="K48" s="251" t="s">
        <v>859</v>
      </c>
      <c r="L48" s="200">
        <f>SUM(L47-L46)</f>
        <v>112672.05217626132</v>
      </c>
      <c r="M48" s="280"/>
    </row>
    <row r="49" spans="1:13" ht="1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</row>
    <row r="50" spans="1:13" ht="1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</row>
    <row r="51" spans="1:13" ht="1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</row>
    <row r="52" spans="1:13" ht="1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</row>
    <row r="53" spans="1:13" ht="1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</row>
    <row r="54" spans="1:13" ht="1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</row>
    <row r="55" spans="1:13" ht="1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</row>
    <row r="56" spans="1:13" ht="1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</row>
    <row r="57" spans="1:13" ht="1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</row>
    <row r="58" spans="1:13" ht="1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</row>
    <row r="59" spans="1:13" ht="26.25" customHeight="1">
      <c r="A59" s="450" t="s">
        <v>868</v>
      </c>
      <c r="B59" s="444"/>
      <c r="C59" s="444"/>
      <c r="D59" s="444"/>
      <c r="E59" s="444"/>
      <c r="F59" s="444"/>
      <c r="G59" s="444"/>
      <c r="H59" s="444"/>
      <c r="I59" s="444"/>
      <c r="J59" s="444"/>
      <c r="K59" s="444"/>
      <c r="L59" s="444"/>
      <c r="M59" s="444"/>
    </row>
    <row r="60" spans="1:13" ht="26.25" customHeight="1">
      <c r="A60" s="450" t="s">
        <v>869</v>
      </c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</row>
    <row r="61" spans="1:13" ht="15" customHeight="1">
      <c r="A61" s="376"/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</row>
    <row r="62" spans="1:13" ht="1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</row>
    <row r="63" spans="1:13" ht="15.75">
      <c r="A63" s="457" t="s">
        <v>571</v>
      </c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433"/>
      <c r="M63" s="433"/>
    </row>
    <row r="64" spans="1:13" ht="18">
      <c r="A64" s="458" t="s">
        <v>572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433"/>
      <c r="M64" s="433"/>
    </row>
  </sheetData>
  <mergeCells count="26">
    <mergeCell ref="A63:M63"/>
    <mergeCell ref="A64:M64"/>
    <mergeCell ref="A7:M7"/>
    <mergeCell ref="E11:G11"/>
    <mergeCell ref="E12:G12"/>
    <mergeCell ref="A11:D11"/>
    <mergeCell ref="A34:D34"/>
    <mergeCell ref="H34:J34"/>
    <mergeCell ref="E35:G35"/>
    <mergeCell ref="H35:J35"/>
    <mergeCell ref="A60:M60"/>
    <mergeCell ref="K34:M34"/>
    <mergeCell ref="A32:M32"/>
    <mergeCell ref="A59:M59"/>
    <mergeCell ref="E33:J33"/>
    <mergeCell ref="E34:G34"/>
    <mergeCell ref="E10:J10"/>
    <mergeCell ref="K11:M11"/>
    <mergeCell ref="A31:M31"/>
    <mergeCell ref="H11:J11"/>
    <mergeCell ref="H12:J12"/>
    <mergeCell ref="A9:M9"/>
    <mergeCell ref="A1:M1"/>
    <mergeCell ref="A2:M2"/>
    <mergeCell ref="A4:M4"/>
    <mergeCell ref="A5:M5"/>
  </mergeCells>
  <printOptions horizontalCentered="1" verticalCentered="1"/>
  <pageMargins left="0.25" right="0.25" top="0.4" bottom="0.3" header="0" footer="0"/>
  <pageSetup horizontalDpi="600" verticalDpi="600" orientation="portrait" scale="59" r:id="rId1"/>
  <rowBreaks count="1" manualBreakCount="1">
    <brk id="64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347"/>
  <sheetViews>
    <sheetView showGridLines="0" view="pageBreakPreview" zoomScale="75" zoomScaleNormal="75" zoomScaleSheetLayoutView="75" workbookViewId="0" topLeftCell="A1">
      <selection activeCell="P1" sqref="P1"/>
    </sheetView>
  </sheetViews>
  <sheetFormatPr defaultColWidth="9.77734375" defaultRowHeight="15"/>
  <cols>
    <col min="1" max="2" width="2.77734375" style="0" customWidth="1"/>
    <col min="3" max="3" width="12.77734375" style="0" customWidth="1"/>
    <col min="4" max="4" width="7.77734375" style="0" customWidth="1"/>
    <col min="5" max="5" width="8.77734375" style="0" customWidth="1"/>
    <col min="6" max="6" width="3.445312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1.77734375" style="48" customWidth="1"/>
    <col min="11" max="11" width="13.886718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7.21484375" style="0" customWidth="1"/>
  </cols>
  <sheetData>
    <row r="1" spans="1:16" ht="16.5" customHeight="1">
      <c r="A1" s="7">
        <v>2</v>
      </c>
      <c r="B1" s="2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85"/>
    </row>
    <row r="2" spans="1:16" ht="10.5" customHeight="1" thickBot="1">
      <c r="A2" s="30"/>
      <c r="B2" s="30"/>
      <c r="C2" s="30"/>
      <c r="I2" s="31"/>
      <c r="P2" s="7"/>
    </row>
    <row r="3" spans="1:16" ht="15.75" thickTop="1">
      <c r="A3" s="32"/>
      <c r="B3" s="32"/>
      <c r="C3" s="32"/>
      <c r="D3" s="32"/>
      <c r="E3" s="32"/>
      <c r="F3" s="32"/>
      <c r="G3" s="26"/>
      <c r="H3" s="26"/>
      <c r="I3" s="33"/>
      <c r="J3" s="66"/>
      <c r="K3" s="26"/>
      <c r="L3" s="32"/>
      <c r="M3" s="32"/>
      <c r="N3" s="32"/>
      <c r="O3" s="32"/>
      <c r="P3" s="32"/>
    </row>
    <row r="4" spans="3:16" ht="15.75" customHeight="1">
      <c r="C4" s="88"/>
      <c r="G4" s="16" t="s">
        <v>573</v>
      </c>
      <c r="H4" s="16" t="s">
        <v>574</v>
      </c>
      <c r="I4" s="29"/>
      <c r="J4" s="34" t="s">
        <v>575</v>
      </c>
      <c r="K4" s="16" t="s">
        <v>576</v>
      </c>
      <c r="L4" s="3"/>
      <c r="M4" s="3"/>
      <c r="N4" s="3"/>
      <c r="O4" s="3"/>
      <c r="P4" s="3"/>
    </row>
    <row r="5" spans="1:11" ht="15.75" customHeight="1">
      <c r="A5" s="3" t="s">
        <v>577</v>
      </c>
      <c r="B5" s="3"/>
      <c r="C5" s="3"/>
      <c r="D5" s="3"/>
      <c r="E5" s="3"/>
      <c r="F5" s="3"/>
      <c r="G5" s="16" t="s">
        <v>578</v>
      </c>
      <c r="H5" s="16" t="s">
        <v>579</v>
      </c>
      <c r="I5" s="29"/>
      <c r="J5" s="34" t="s">
        <v>580</v>
      </c>
      <c r="K5" s="14"/>
    </row>
    <row r="6" spans="1:16" ht="16.5" customHeight="1">
      <c r="A6" s="15"/>
      <c r="B6" s="15"/>
      <c r="C6" s="15"/>
      <c r="D6" s="15"/>
      <c r="E6" s="15"/>
      <c r="F6" s="15"/>
      <c r="G6" s="35"/>
      <c r="H6" s="35"/>
      <c r="I6" s="36"/>
      <c r="J6" s="61"/>
      <c r="K6" s="37" t="s">
        <v>581</v>
      </c>
      <c r="L6" s="38"/>
      <c r="M6" s="37" t="s">
        <v>60</v>
      </c>
      <c r="N6" s="38"/>
      <c r="O6" s="37" t="s">
        <v>862</v>
      </c>
      <c r="P6" s="38"/>
    </row>
    <row r="7" spans="1:16" ht="15.75" customHeight="1">
      <c r="A7" s="62"/>
      <c r="B7" s="62"/>
      <c r="C7" s="62"/>
      <c r="D7" s="62"/>
      <c r="E7" s="62"/>
      <c r="F7" s="62"/>
      <c r="G7" s="14"/>
      <c r="H7" s="14"/>
      <c r="I7" s="95"/>
      <c r="J7" s="34"/>
      <c r="K7" s="16"/>
      <c r="L7" s="96"/>
      <c r="M7" s="16"/>
      <c r="N7" s="96"/>
      <c r="O7" s="16"/>
      <c r="P7" s="96"/>
    </row>
    <row r="8" spans="1:16" ht="18">
      <c r="A8" s="23" t="s">
        <v>864</v>
      </c>
      <c r="B8" s="23"/>
      <c r="C8" s="22"/>
      <c r="G8" s="18"/>
      <c r="H8" s="18"/>
      <c r="I8" s="39"/>
      <c r="J8" s="67"/>
      <c r="K8" s="40"/>
      <c r="L8" s="21"/>
      <c r="M8" s="14"/>
      <c r="O8" s="40"/>
      <c r="P8" s="41"/>
    </row>
    <row r="9" spans="2:16" ht="19.5">
      <c r="B9" s="9" t="s">
        <v>62</v>
      </c>
      <c r="F9" s="151" t="s">
        <v>546</v>
      </c>
      <c r="G9" s="18"/>
      <c r="H9" s="18"/>
      <c r="I9" s="39"/>
      <c r="J9" s="67"/>
      <c r="K9" s="14"/>
      <c r="M9" s="14"/>
      <c r="O9" s="47"/>
      <c r="P9" s="21"/>
    </row>
    <row r="10" spans="2:16" ht="17.25" customHeight="1">
      <c r="B10" s="9" t="s">
        <v>63</v>
      </c>
      <c r="E10" s="9" t="s">
        <v>64</v>
      </c>
      <c r="F10" s="9"/>
      <c r="G10" s="18"/>
      <c r="H10" s="18"/>
      <c r="I10" s="39"/>
      <c r="J10" s="67"/>
      <c r="K10" s="14"/>
      <c r="M10" s="14"/>
      <c r="O10" s="47"/>
      <c r="P10" s="21"/>
    </row>
    <row r="11" spans="3:16" ht="15.75" customHeight="1">
      <c r="C11" s="43" t="s">
        <v>625</v>
      </c>
      <c r="D11" s="44"/>
      <c r="E11" s="125">
        <v>1</v>
      </c>
      <c r="F11" s="62"/>
      <c r="G11" s="52">
        <v>38022</v>
      </c>
      <c r="H11" s="124">
        <v>38204</v>
      </c>
      <c r="I11" s="377"/>
      <c r="J11" s="46">
        <v>38204</v>
      </c>
      <c r="K11" s="40">
        <v>23053.803</v>
      </c>
      <c r="L11" s="21"/>
      <c r="M11" s="47" t="s">
        <v>65</v>
      </c>
      <c r="N11" s="27"/>
      <c r="O11" s="40">
        <f>K11+K12+K13</f>
        <v>69129.72399999999</v>
      </c>
      <c r="P11" s="21"/>
    </row>
    <row r="12" spans="3:16" ht="15.75" customHeight="1">
      <c r="C12" s="43"/>
      <c r="D12" s="44"/>
      <c r="E12" s="125">
        <v>0.985</v>
      </c>
      <c r="F12" s="62"/>
      <c r="G12" s="52">
        <v>38113</v>
      </c>
      <c r="H12" s="124"/>
      <c r="I12" s="377"/>
      <c r="J12" s="46"/>
      <c r="K12" s="40">
        <v>24773.279</v>
      </c>
      <c r="L12" s="21"/>
      <c r="M12" s="47"/>
      <c r="N12" s="27"/>
      <c r="O12" s="40"/>
      <c r="P12" s="21"/>
    </row>
    <row r="13" spans="3:16" ht="15.75" customHeight="1">
      <c r="C13" s="43"/>
      <c r="D13" s="44"/>
      <c r="E13" s="125">
        <v>1.14</v>
      </c>
      <c r="F13" s="62"/>
      <c r="G13" s="52">
        <v>38176</v>
      </c>
      <c r="H13" s="124"/>
      <c r="I13" s="377"/>
      <c r="J13" s="46"/>
      <c r="K13" s="40">
        <v>21302.642</v>
      </c>
      <c r="L13" s="21"/>
      <c r="M13" s="47"/>
      <c r="N13" s="27"/>
      <c r="O13" s="40"/>
      <c r="P13" s="21"/>
    </row>
    <row r="14" spans="3:16" ht="15.75" customHeight="1">
      <c r="C14" s="43" t="s">
        <v>222</v>
      </c>
      <c r="D14" s="44"/>
      <c r="E14" s="125">
        <v>0.99</v>
      </c>
      <c r="F14" s="62"/>
      <c r="G14" s="52">
        <v>38029</v>
      </c>
      <c r="H14" s="124">
        <v>38211</v>
      </c>
      <c r="I14" s="377"/>
      <c r="J14" s="46">
        <v>38211</v>
      </c>
      <c r="K14" s="40">
        <v>22996.751</v>
      </c>
      <c r="L14" s="21"/>
      <c r="M14" s="47" t="s">
        <v>65</v>
      </c>
      <c r="N14" s="27"/>
      <c r="O14" s="40">
        <f>K14+K15+K16</f>
        <v>72886.38399999999</v>
      </c>
      <c r="P14" s="21"/>
    </row>
    <row r="15" spans="3:16" ht="15.75" customHeight="1">
      <c r="C15" s="43"/>
      <c r="D15" s="44"/>
      <c r="E15" s="125">
        <v>1.06</v>
      </c>
      <c r="F15" s="62"/>
      <c r="G15" s="52">
        <v>38120</v>
      </c>
      <c r="H15" s="124"/>
      <c r="I15" s="377"/>
      <c r="J15" s="46"/>
      <c r="K15" s="40">
        <v>24865.616</v>
      </c>
      <c r="L15" s="21"/>
      <c r="M15" s="47"/>
      <c r="N15" s="27"/>
      <c r="O15" s="40"/>
      <c r="P15" s="21"/>
    </row>
    <row r="16" spans="3:16" ht="15.75" customHeight="1">
      <c r="C16" s="43"/>
      <c r="D16" s="44"/>
      <c r="E16" s="125">
        <v>1.155</v>
      </c>
      <c r="F16" s="62"/>
      <c r="G16" s="52">
        <v>38183</v>
      </c>
      <c r="H16" s="124"/>
      <c r="I16" s="377"/>
      <c r="J16" s="46"/>
      <c r="K16" s="40">
        <v>25024.017</v>
      </c>
      <c r="L16" s="21"/>
      <c r="M16" s="47"/>
      <c r="N16" s="27"/>
      <c r="O16" s="40"/>
      <c r="P16" s="21"/>
    </row>
    <row r="17" spans="3:16" ht="15.75" customHeight="1">
      <c r="C17" s="43" t="s">
        <v>196</v>
      </c>
      <c r="D17" s="44"/>
      <c r="E17" s="125">
        <v>0.975</v>
      </c>
      <c r="F17" s="62"/>
      <c r="G17" s="52">
        <v>38036</v>
      </c>
      <c r="H17" s="124">
        <v>38218</v>
      </c>
      <c r="I17" s="377"/>
      <c r="J17" s="46">
        <v>38218</v>
      </c>
      <c r="K17" s="40">
        <v>23188.604</v>
      </c>
      <c r="L17" s="21"/>
      <c r="M17" s="47" t="s">
        <v>65</v>
      </c>
      <c r="N17" s="27"/>
      <c r="O17" s="40">
        <f>K17+K18+K19</f>
        <v>73274.984</v>
      </c>
      <c r="P17" s="21"/>
    </row>
    <row r="18" spans="3:16" ht="15.75" customHeight="1">
      <c r="C18" s="43"/>
      <c r="D18" s="44"/>
      <c r="E18" s="125">
        <v>1.04</v>
      </c>
      <c r="F18" s="62"/>
      <c r="G18" s="52">
        <v>38127</v>
      </c>
      <c r="H18" s="124"/>
      <c r="I18" s="377"/>
      <c r="J18" s="46"/>
      <c r="K18" s="40">
        <v>24759.134</v>
      </c>
      <c r="L18" s="21"/>
      <c r="M18" s="47"/>
      <c r="N18" s="27"/>
      <c r="O18" s="40"/>
      <c r="P18" s="21"/>
    </row>
    <row r="19" spans="3:16" ht="15.75" customHeight="1">
      <c r="C19" s="43"/>
      <c r="D19" s="44"/>
      <c r="E19" s="125">
        <v>1.17</v>
      </c>
      <c r="F19" s="62"/>
      <c r="G19" s="52">
        <v>38190</v>
      </c>
      <c r="H19" s="124"/>
      <c r="I19" s="377"/>
      <c r="J19" s="46"/>
      <c r="K19" s="40">
        <v>25327.246</v>
      </c>
      <c r="L19" s="21"/>
      <c r="M19" s="47"/>
      <c r="N19" s="27"/>
      <c r="O19" s="40"/>
      <c r="P19" s="21"/>
    </row>
    <row r="20" spans="3:16" ht="15.75" customHeight="1">
      <c r="C20" s="43" t="s">
        <v>1011</v>
      </c>
      <c r="D20" s="44"/>
      <c r="E20" s="125">
        <v>0.995</v>
      </c>
      <c r="F20" s="62"/>
      <c r="G20" s="52">
        <v>38043</v>
      </c>
      <c r="H20" s="124">
        <v>38225</v>
      </c>
      <c r="I20" s="377"/>
      <c r="J20" s="46">
        <v>38225</v>
      </c>
      <c r="K20" s="40">
        <v>23111.693</v>
      </c>
      <c r="L20" s="21"/>
      <c r="M20" s="47" t="s">
        <v>65</v>
      </c>
      <c r="N20" s="27"/>
      <c r="O20" s="40">
        <f>K20+K21+K22</f>
        <v>69913.678</v>
      </c>
      <c r="P20" s="21"/>
    </row>
    <row r="21" spans="3:16" ht="15.75" customHeight="1">
      <c r="C21" s="43"/>
      <c r="D21" s="44"/>
      <c r="E21" s="125">
        <v>1.05</v>
      </c>
      <c r="F21" s="62"/>
      <c r="G21" s="52">
        <v>38134</v>
      </c>
      <c r="H21" s="124"/>
      <c r="I21" s="377"/>
      <c r="J21" s="46"/>
      <c r="K21" s="40">
        <v>24979.013</v>
      </c>
      <c r="L21" s="21"/>
      <c r="M21" s="47"/>
      <c r="N21" s="27"/>
      <c r="O21" s="40"/>
      <c r="P21" s="21"/>
    </row>
    <row r="22" spans="3:16" ht="15.75" customHeight="1">
      <c r="C22" s="43"/>
      <c r="D22" s="44"/>
      <c r="E22" s="125">
        <v>1.325</v>
      </c>
      <c r="F22" s="62"/>
      <c r="G22" s="52">
        <v>38197</v>
      </c>
      <c r="H22" s="124"/>
      <c r="I22" s="377"/>
      <c r="J22" s="46"/>
      <c r="K22" s="40">
        <v>21822.972</v>
      </c>
      <c r="L22" s="21"/>
      <c r="M22" s="47"/>
      <c r="N22" s="27"/>
      <c r="O22" s="40"/>
      <c r="P22" s="21"/>
    </row>
    <row r="23" spans="3:16" ht="15.75" customHeight="1">
      <c r="C23" s="43" t="s">
        <v>834</v>
      </c>
      <c r="D23" s="44"/>
      <c r="E23" s="125">
        <v>0.99</v>
      </c>
      <c r="F23" s="62"/>
      <c r="G23" s="52">
        <v>38050</v>
      </c>
      <c r="H23" s="124">
        <v>38232</v>
      </c>
      <c r="I23" s="377"/>
      <c r="J23" s="46">
        <v>38232</v>
      </c>
      <c r="K23" s="40">
        <v>23021.412</v>
      </c>
      <c r="L23" s="21"/>
      <c r="M23" s="47" t="s">
        <v>65</v>
      </c>
      <c r="N23" s="27"/>
      <c r="O23" s="40">
        <f>K23+K24</f>
        <v>47618.638</v>
      </c>
      <c r="P23" s="21"/>
    </row>
    <row r="24" spans="3:16" ht="15.75" customHeight="1">
      <c r="C24" s="43"/>
      <c r="D24" s="44"/>
      <c r="E24" s="125">
        <v>1.13</v>
      </c>
      <c r="F24" s="62"/>
      <c r="G24" s="52">
        <v>38141</v>
      </c>
      <c r="H24" s="124"/>
      <c r="I24" s="377"/>
      <c r="J24" s="46"/>
      <c r="K24" s="40">
        <v>24597.226</v>
      </c>
      <c r="L24" s="21"/>
      <c r="M24" s="47"/>
      <c r="N24" s="27"/>
      <c r="O24" s="40"/>
      <c r="P24" s="21"/>
    </row>
    <row r="25" spans="3:16" ht="15.75" customHeight="1">
      <c r="C25" s="43" t="s">
        <v>835</v>
      </c>
      <c r="D25" s="44"/>
      <c r="E25" s="125">
        <v>0.975</v>
      </c>
      <c r="F25" s="62"/>
      <c r="G25" s="52">
        <v>38057</v>
      </c>
      <c r="H25" s="124">
        <v>38239</v>
      </c>
      <c r="I25" s="377"/>
      <c r="J25" s="46">
        <v>38239</v>
      </c>
      <c r="K25" s="40">
        <v>22848.516</v>
      </c>
      <c r="L25" s="21"/>
      <c r="M25" s="47" t="s">
        <v>65</v>
      </c>
      <c r="N25" s="27"/>
      <c r="O25" s="40">
        <f>K25+K26</f>
        <v>48012.199</v>
      </c>
      <c r="P25" s="21"/>
    </row>
    <row r="26" spans="3:16" ht="15.75" customHeight="1">
      <c r="C26" s="43"/>
      <c r="D26" s="44"/>
      <c r="E26" s="125">
        <v>1.23</v>
      </c>
      <c r="F26" s="62"/>
      <c r="G26" s="52">
        <v>38148</v>
      </c>
      <c r="H26" s="124"/>
      <c r="I26" s="377"/>
      <c r="J26" s="46"/>
      <c r="K26" s="40">
        <v>25163.683</v>
      </c>
      <c r="L26" s="21"/>
      <c r="M26" s="47"/>
      <c r="N26" s="27"/>
      <c r="O26" s="40"/>
      <c r="P26" s="21"/>
    </row>
    <row r="27" spans="3:16" ht="15.75" customHeight="1">
      <c r="C27" s="43" t="s">
        <v>836</v>
      </c>
      <c r="D27" s="44"/>
      <c r="E27" s="125">
        <v>0.99</v>
      </c>
      <c r="F27" s="62"/>
      <c r="G27" s="52">
        <v>38064</v>
      </c>
      <c r="H27" s="124">
        <v>38246</v>
      </c>
      <c r="I27" s="377"/>
      <c r="J27" s="46">
        <v>38246</v>
      </c>
      <c r="K27" s="40">
        <v>21631.452</v>
      </c>
      <c r="L27" s="21"/>
      <c r="M27" s="47" t="s">
        <v>65</v>
      </c>
      <c r="N27" s="27"/>
      <c r="O27" s="40">
        <f>K27+K28</f>
        <v>45505.224</v>
      </c>
      <c r="P27" s="21"/>
    </row>
    <row r="28" spans="3:16" ht="15.75" customHeight="1">
      <c r="C28" s="43"/>
      <c r="D28" s="44"/>
      <c r="E28" s="125">
        <v>1.39</v>
      </c>
      <c r="F28" s="62"/>
      <c r="G28" s="52">
        <v>38155</v>
      </c>
      <c r="H28" s="124"/>
      <c r="I28" s="377"/>
      <c r="J28" s="46"/>
      <c r="K28" s="40">
        <v>23873.772</v>
      </c>
      <c r="L28" s="21"/>
      <c r="M28" s="47"/>
      <c r="N28" s="27"/>
      <c r="O28" s="40"/>
      <c r="P28" s="21"/>
    </row>
    <row r="29" spans="3:16" ht="15.75" customHeight="1">
      <c r="C29" s="43" t="s">
        <v>837</v>
      </c>
      <c r="D29" s="44"/>
      <c r="E29" s="125">
        <v>0.99</v>
      </c>
      <c r="F29" s="62"/>
      <c r="G29" s="52">
        <v>38071</v>
      </c>
      <c r="H29" s="124">
        <v>38253</v>
      </c>
      <c r="I29" s="377"/>
      <c r="J29" s="46">
        <v>38253</v>
      </c>
      <c r="K29" s="40">
        <v>21658.601</v>
      </c>
      <c r="L29" s="21"/>
      <c r="M29" s="47" t="s">
        <v>65</v>
      </c>
      <c r="N29" s="27"/>
      <c r="O29" s="40">
        <f>K29+K30</f>
        <v>45197.016</v>
      </c>
      <c r="P29" s="21"/>
    </row>
    <row r="30" spans="3:16" ht="15.75" customHeight="1">
      <c r="C30" s="43"/>
      <c r="D30" s="44"/>
      <c r="E30" s="125">
        <v>1.315</v>
      </c>
      <c r="F30" s="62"/>
      <c r="G30" s="52">
        <v>38162</v>
      </c>
      <c r="H30" s="124"/>
      <c r="I30" s="377"/>
      <c r="J30" s="46"/>
      <c r="K30" s="40">
        <v>23538.415</v>
      </c>
      <c r="L30" s="21"/>
      <c r="M30" s="47"/>
      <c r="N30" s="27"/>
      <c r="O30" s="40"/>
      <c r="P30" s="21"/>
    </row>
    <row r="31" spans="3:16" ht="15.75" customHeight="1">
      <c r="C31" s="43" t="s">
        <v>711</v>
      </c>
      <c r="D31" s="44"/>
      <c r="E31" s="125">
        <v>0.99</v>
      </c>
      <c r="F31" s="62"/>
      <c r="G31" s="52">
        <v>38078</v>
      </c>
      <c r="H31" s="124">
        <v>38260</v>
      </c>
      <c r="I31" s="377"/>
      <c r="J31" s="46">
        <v>38260</v>
      </c>
      <c r="K31" s="40">
        <v>20392.674</v>
      </c>
      <c r="L31" s="21"/>
      <c r="M31" s="47" t="s">
        <v>65</v>
      </c>
      <c r="N31" s="27"/>
      <c r="O31" s="40">
        <f>K31+K32</f>
        <v>44119.118</v>
      </c>
      <c r="P31" s="21"/>
    </row>
    <row r="32" spans="3:16" ht="15.75" customHeight="1">
      <c r="C32" s="43"/>
      <c r="D32" s="44"/>
      <c r="E32" s="125">
        <v>1.355</v>
      </c>
      <c r="F32" s="62"/>
      <c r="G32" s="52">
        <v>38169</v>
      </c>
      <c r="H32" s="124"/>
      <c r="I32" s="377"/>
      <c r="J32" s="46"/>
      <c r="K32" s="40">
        <v>23726.444</v>
      </c>
      <c r="L32" s="21"/>
      <c r="M32" s="47"/>
      <c r="N32" s="27"/>
      <c r="O32" s="40"/>
      <c r="P32" s="21"/>
    </row>
    <row r="33" spans="3:16" ht="15.75" customHeight="1">
      <c r="C33" s="43" t="s">
        <v>712</v>
      </c>
      <c r="D33" s="44"/>
      <c r="E33" s="125">
        <v>1.03</v>
      </c>
      <c r="F33" s="62"/>
      <c r="G33" s="52">
        <v>38085</v>
      </c>
      <c r="H33" s="124">
        <v>38267</v>
      </c>
      <c r="I33" s="377"/>
      <c r="J33" s="46">
        <v>38267</v>
      </c>
      <c r="K33" s="40">
        <v>19033.848</v>
      </c>
      <c r="L33" s="21"/>
      <c r="M33" s="47" t="s">
        <v>65</v>
      </c>
      <c r="N33" s="27"/>
      <c r="O33" s="40">
        <f>K33+K34</f>
        <v>43443.409</v>
      </c>
      <c r="P33" s="21"/>
    </row>
    <row r="34" spans="3:16" ht="15.75" customHeight="1">
      <c r="C34" s="43"/>
      <c r="D34" s="44"/>
      <c r="E34" s="125">
        <v>1.32</v>
      </c>
      <c r="F34" s="62"/>
      <c r="G34" s="52">
        <v>38176</v>
      </c>
      <c r="H34" s="124"/>
      <c r="I34" s="377"/>
      <c r="J34" s="46"/>
      <c r="K34" s="40">
        <v>24409.561</v>
      </c>
      <c r="L34" s="21"/>
      <c r="M34" s="47"/>
      <c r="N34" s="27"/>
      <c r="O34" s="40"/>
      <c r="P34" s="21"/>
    </row>
    <row r="35" spans="3:16" ht="15.75" customHeight="1">
      <c r="C35" s="43" t="s">
        <v>713</v>
      </c>
      <c r="D35" s="44"/>
      <c r="E35" s="125">
        <v>1.025</v>
      </c>
      <c r="F35" s="62"/>
      <c r="G35" s="52">
        <v>38092</v>
      </c>
      <c r="H35" s="124">
        <v>38274</v>
      </c>
      <c r="I35" s="377"/>
      <c r="J35" s="46">
        <v>38274</v>
      </c>
      <c r="K35" s="40">
        <v>17876.689</v>
      </c>
      <c r="L35" s="21"/>
      <c r="M35" s="47" t="s">
        <v>65</v>
      </c>
      <c r="N35" s="27"/>
      <c r="O35" s="40">
        <f>K35+K36</f>
        <v>42397.736999999994</v>
      </c>
      <c r="P35" s="21"/>
    </row>
    <row r="36" spans="3:16" ht="15.75" customHeight="1">
      <c r="C36" s="43"/>
      <c r="D36" s="44"/>
      <c r="E36" s="125">
        <v>1.315</v>
      </c>
      <c r="F36" s="62"/>
      <c r="G36" s="52">
        <v>38183</v>
      </c>
      <c r="H36" s="124"/>
      <c r="I36" s="377"/>
      <c r="J36" s="46"/>
      <c r="K36" s="40">
        <v>24521.048</v>
      </c>
      <c r="L36" s="21"/>
      <c r="M36" s="47"/>
      <c r="N36" s="27"/>
      <c r="O36" s="40"/>
      <c r="P36" s="21"/>
    </row>
    <row r="37" spans="3:16" ht="15.75" customHeight="1">
      <c r="C37" s="43" t="s">
        <v>714</v>
      </c>
      <c r="D37" s="44"/>
      <c r="E37" s="125">
        <v>1.08</v>
      </c>
      <c r="F37" s="62"/>
      <c r="G37" s="52">
        <v>38099</v>
      </c>
      <c r="H37" s="124">
        <v>38281</v>
      </c>
      <c r="I37" s="377"/>
      <c r="J37" s="46">
        <v>38281</v>
      </c>
      <c r="K37" s="40">
        <v>18020.69</v>
      </c>
      <c r="L37" s="21"/>
      <c r="M37" s="47" t="s">
        <v>65</v>
      </c>
      <c r="N37" s="27"/>
      <c r="O37" s="40">
        <f>K37+K38</f>
        <v>42057.861</v>
      </c>
      <c r="P37" s="21"/>
    </row>
    <row r="38" spans="3:16" ht="15.75" customHeight="1">
      <c r="C38" s="43"/>
      <c r="D38" s="44"/>
      <c r="E38" s="125">
        <v>1.33</v>
      </c>
      <c r="F38" s="62"/>
      <c r="G38" s="52">
        <v>38190</v>
      </c>
      <c r="H38" s="124"/>
      <c r="I38" s="377"/>
      <c r="J38" s="46"/>
      <c r="K38" s="40">
        <v>24037.171</v>
      </c>
      <c r="L38" s="21"/>
      <c r="M38" s="47"/>
      <c r="N38" s="27"/>
      <c r="O38" s="40"/>
      <c r="P38" s="21"/>
    </row>
    <row r="39" spans="3:16" ht="15.75" customHeight="1">
      <c r="C39" s="43" t="s">
        <v>715</v>
      </c>
      <c r="D39" s="44"/>
      <c r="E39" s="125">
        <v>1.165</v>
      </c>
      <c r="F39" s="62"/>
      <c r="G39" s="52">
        <v>38106</v>
      </c>
      <c r="H39" s="124">
        <v>38288</v>
      </c>
      <c r="I39" s="377"/>
      <c r="J39" s="46">
        <v>38288</v>
      </c>
      <c r="K39" s="40">
        <v>19319.183</v>
      </c>
      <c r="L39" s="21"/>
      <c r="M39" s="47" t="s">
        <v>65</v>
      </c>
      <c r="N39" s="27"/>
      <c r="O39" s="40">
        <f>K39+K40</f>
        <v>44366.633</v>
      </c>
      <c r="P39" s="21"/>
    </row>
    <row r="40" spans="3:16" ht="15.75" customHeight="1">
      <c r="C40" s="43"/>
      <c r="D40" s="44"/>
      <c r="E40" s="125">
        <v>1.425</v>
      </c>
      <c r="F40" s="62"/>
      <c r="G40" s="52">
        <v>38197</v>
      </c>
      <c r="H40" s="124"/>
      <c r="I40" s="377"/>
      <c r="J40" s="46"/>
      <c r="K40" s="40">
        <v>25047.45</v>
      </c>
      <c r="L40" s="21"/>
      <c r="M40" s="47"/>
      <c r="N40" s="27"/>
      <c r="O40" s="40"/>
      <c r="P40" s="21"/>
    </row>
    <row r="41" spans="3:16" ht="15.75" customHeight="1">
      <c r="C41" s="43" t="s">
        <v>496</v>
      </c>
      <c r="D41" s="44"/>
      <c r="E41" s="125">
        <v>1.175</v>
      </c>
      <c r="F41" s="62"/>
      <c r="G41" s="52">
        <v>38113</v>
      </c>
      <c r="H41" s="124">
        <v>38295</v>
      </c>
      <c r="I41" s="377"/>
      <c r="J41" s="46">
        <v>38295</v>
      </c>
      <c r="K41" s="40">
        <v>20554.11</v>
      </c>
      <c r="L41" s="21"/>
      <c r="M41" s="47" t="s">
        <v>65</v>
      </c>
      <c r="N41" s="27"/>
      <c r="O41" s="40">
        <f aca="true" t="shared" si="0" ref="O41:O53">K41</f>
        <v>20554.11</v>
      </c>
      <c r="P41" s="21"/>
    </row>
    <row r="42" spans="3:16" ht="15.75" customHeight="1">
      <c r="C42" s="43" t="s">
        <v>497</v>
      </c>
      <c r="D42" s="44"/>
      <c r="E42" s="125">
        <v>1.34</v>
      </c>
      <c r="F42" s="62"/>
      <c r="G42" s="52">
        <v>38120</v>
      </c>
      <c r="H42" s="124">
        <v>38303</v>
      </c>
      <c r="I42" s="377"/>
      <c r="J42" s="46">
        <v>38303</v>
      </c>
      <c r="K42" s="40">
        <v>20533.098</v>
      </c>
      <c r="L42" s="21"/>
      <c r="M42" s="47" t="s">
        <v>65</v>
      </c>
      <c r="N42" s="27"/>
      <c r="O42" s="40">
        <f t="shared" si="0"/>
        <v>20533.098</v>
      </c>
      <c r="P42" s="21"/>
    </row>
    <row r="43" spans="3:16" ht="15.75" customHeight="1">
      <c r="C43" s="43" t="s">
        <v>498</v>
      </c>
      <c r="D43" s="44"/>
      <c r="E43" s="125">
        <v>1.335</v>
      </c>
      <c r="F43" s="62"/>
      <c r="G43" s="52">
        <v>38127</v>
      </c>
      <c r="H43" s="124">
        <v>38309</v>
      </c>
      <c r="I43" s="377"/>
      <c r="J43" s="46">
        <v>38309</v>
      </c>
      <c r="K43" s="40">
        <v>20740.447</v>
      </c>
      <c r="L43" s="21"/>
      <c r="M43" s="47" t="s">
        <v>65</v>
      </c>
      <c r="N43" s="27"/>
      <c r="O43" s="40">
        <f t="shared" si="0"/>
        <v>20740.447</v>
      </c>
      <c r="P43" s="21"/>
    </row>
    <row r="44" spans="3:16" ht="15.75" customHeight="1">
      <c r="C44" s="43" t="s">
        <v>499</v>
      </c>
      <c r="D44" s="44"/>
      <c r="E44" s="125">
        <v>1.375</v>
      </c>
      <c r="F44" s="62"/>
      <c r="G44" s="52">
        <v>38134</v>
      </c>
      <c r="H44" s="124">
        <v>38317</v>
      </c>
      <c r="I44" s="377"/>
      <c r="J44" s="46">
        <v>38317</v>
      </c>
      <c r="K44" s="40">
        <v>20631.67</v>
      </c>
      <c r="L44" s="21"/>
      <c r="M44" s="47" t="s">
        <v>65</v>
      </c>
      <c r="N44" s="27"/>
      <c r="O44" s="40">
        <f t="shared" si="0"/>
        <v>20631.67</v>
      </c>
      <c r="P44" s="21"/>
    </row>
    <row r="45" spans="3:16" ht="15.75" customHeight="1">
      <c r="C45" s="43" t="s">
        <v>892</v>
      </c>
      <c r="D45" s="44"/>
      <c r="E45" s="125">
        <v>1.4</v>
      </c>
      <c r="F45" s="62"/>
      <c r="G45" s="52">
        <v>38141</v>
      </c>
      <c r="H45" s="124">
        <v>38323</v>
      </c>
      <c r="I45" s="377"/>
      <c r="J45" s="46">
        <v>38323</v>
      </c>
      <c r="K45" s="40">
        <v>20768.631</v>
      </c>
      <c r="L45" s="21"/>
      <c r="M45" s="47" t="s">
        <v>65</v>
      </c>
      <c r="N45" s="27"/>
      <c r="O45" s="40">
        <f t="shared" si="0"/>
        <v>20768.631</v>
      </c>
      <c r="P45" s="21"/>
    </row>
    <row r="46" spans="3:16" ht="15.75" customHeight="1">
      <c r="C46" s="43" t="s">
        <v>893</v>
      </c>
      <c r="D46" s="44"/>
      <c r="E46" s="125">
        <v>1.505</v>
      </c>
      <c r="F46" s="62"/>
      <c r="G46" s="52">
        <v>38148</v>
      </c>
      <c r="H46" s="124">
        <v>38330</v>
      </c>
      <c r="I46" s="377"/>
      <c r="J46" s="46">
        <v>38330</v>
      </c>
      <c r="K46" s="40">
        <v>20715.972</v>
      </c>
      <c r="L46" s="21"/>
      <c r="M46" s="47" t="s">
        <v>65</v>
      </c>
      <c r="N46" s="27"/>
      <c r="O46" s="40">
        <f t="shared" si="0"/>
        <v>20715.972</v>
      </c>
      <c r="P46" s="21"/>
    </row>
    <row r="47" spans="3:16" ht="15.75" customHeight="1">
      <c r="C47" s="43" t="s">
        <v>894</v>
      </c>
      <c r="D47" s="44"/>
      <c r="E47" s="125">
        <v>1.72</v>
      </c>
      <c r="F47" s="62"/>
      <c r="G47" s="52">
        <v>38155</v>
      </c>
      <c r="H47" s="124">
        <v>38337</v>
      </c>
      <c r="I47" s="377"/>
      <c r="J47" s="46">
        <v>38337</v>
      </c>
      <c r="K47" s="40">
        <v>20792.213</v>
      </c>
      <c r="L47" s="21"/>
      <c r="M47" s="47" t="s">
        <v>65</v>
      </c>
      <c r="N47" s="27"/>
      <c r="O47" s="40">
        <f t="shared" si="0"/>
        <v>20792.213</v>
      </c>
      <c r="P47" s="21"/>
    </row>
    <row r="48" spans="3:16" ht="15.75" customHeight="1">
      <c r="C48" s="43" t="s">
        <v>895</v>
      </c>
      <c r="D48" s="44"/>
      <c r="E48" s="125">
        <v>1.675</v>
      </c>
      <c r="F48" s="62"/>
      <c r="G48" s="52">
        <v>38162</v>
      </c>
      <c r="H48" s="124">
        <v>38344</v>
      </c>
      <c r="I48" s="377"/>
      <c r="J48" s="46">
        <v>38344</v>
      </c>
      <c r="K48" s="40">
        <v>20677.039</v>
      </c>
      <c r="L48" s="21"/>
      <c r="M48" s="47" t="s">
        <v>65</v>
      </c>
      <c r="N48" s="27"/>
      <c r="O48" s="40">
        <f t="shared" si="0"/>
        <v>20677.039</v>
      </c>
      <c r="P48" s="21"/>
    </row>
    <row r="49" spans="3:16" ht="15.75" customHeight="1">
      <c r="C49" s="43" t="s">
        <v>1147</v>
      </c>
      <c r="D49" s="44"/>
      <c r="E49" s="125">
        <v>1.725</v>
      </c>
      <c r="F49" s="62"/>
      <c r="G49" s="52">
        <v>38169</v>
      </c>
      <c r="H49" s="124">
        <v>38351</v>
      </c>
      <c r="I49" s="377"/>
      <c r="J49" s="46">
        <v>38351</v>
      </c>
      <c r="K49" s="40">
        <v>20749.757</v>
      </c>
      <c r="L49" s="21"/>
      <c r="M49" s="47" t="s">
        <v>65</v>
      </c>
      <c r="N49" s="27"/>
      <c r="O49" s="40">
        <f t="shared" si="0"/>
        <v>20749.757</v>
      </c>
      <c r="P49" s="21"/>
    </row>
    <row r="50" spans="3:16" ht="15.75" customHeight="1">
      <c r="C50" s="43" t="s">
        <v>1148</v>
      </c>
      <c r="D50" s="44"/>
      <c r="E50" s="125">
        <v>1.63</v>
      </c>
      <c r="F50" s="62"/>
      <c r="G50" s="52">
        <v>38176</v>
      </c>
      <c r="H50" s="124">
        <v>38358</v>
      </c>
      <c r="I50" s="377"/>
      <c r="J50" s="46">
        <v>38358</v>
      </c>
      <c r="K50" s="40">
        <v>22039.107</v>
      </c>
      <c r="L50" s="21"/>
      <c r="M50" s="47" t="s">
        <v>65</v>
      </c>
      <c r="N50" s="27"/>
      <c r="O50" s="40">
        <f t="shared" si="0"/>
        <v>22039.107</v>
      </c>
      <c r="P50" s="21"/>
    </row>
    <row r="51" spans="3:16" ht="15.75" customHeight="1">
      <c r="C51" s="43" t="s">
        <v>1149</v>
      </c>
      <c r="D51" s="44"/>
      <c r="E51" s="125">
        <v>1.63</v>
      </c>
      <c r="F51" s="62"/>
      <c r="G51" s="52">
        <v>38183</v>
      </c>
      <c r="H51" s="124">
        <v>38365</v>
      </c>
      <c r="I51" s="377"/>
      <c r="J51" s="46">
        <v>38365</v>
      </c>
      <c r="K51" s="40">
        <v>22053.503</v>
      </c>
      <c r="L51" s="21"/>
      <c r="M51" s="47" t="s">
        <v>65</v>
      </c>
      <c r="N51" s="27"/>
      <c r="O51" s="40">
        <f t="shared" si="0"/>
        <v>22053.503</v>
      </c>
      <c r="P51" s="21"/>
    </row>
    <row r="52" spans="3:16" ht="15.75" customHeight="1">
      <c r="C52" s="43" t="s">
        <v>1150</v>
      </c>
      <c r="D52" s="44"/>
      <c r="E52" s="125">
        <v>1.65</v>
      </c>
      <c r="F52" s="62"/>
      <c r="G52" s="52">
        <v>38190</v>
      </c>
      <c r="H52" s="124">
        <v>38372</v>
      </c>
      <c r="I52" s="377"/>
      <c r="J52" s="46">
        <v>38372</v>
      </c>
      <c r="K52" s="40">
        <v>22157.466</v>
      </c>
      <c r="L52" s="21"/>
      <c r="M52" s="47" t="s">
        <v>65</v>
      </c>
      <c r="N52" s="27"/>
      <c r="O52" s="40">
        <f t="shared" si="0"/>
        <v>22157.466</v>
      </c>
      <c r="P52" s="21"/>
    </row>
    <row r="53" spans="3:16" ht="15" customHeight="1">
      <c r="C53" s="43" t="s">
        <v>1151</v>
      </c>
      <c r="D53" s="44"/>
      <c r="E53" s="125">
        <v>1.735</v>
      </c>
      <c r="F53" s="62"/>
      <c r="G53" s="52">
        <v>38197</v>
      </c>
      <c r="H53" s="124">
        <v>38379</v>
      </c>
      <c r="I53" s="377"/>
      <c r="J53" s="46">
        <v>38379</v>
      </c>
      <c r="K53" s="40">
        <v>22208.52</v>
      </c>
      <c r="L53" s="21"/>
      <c r="M53" s="47" t="s">
        <v>65</v>
      </c>
      <c r="N53" s="27"/>
      <c r="O53" s="40">
        <f t="shared" si="0"/>
        <v>22208.52</v>
      </c>
      <c r="P53" s="21"/>
    </row>
    <row r="54" spans="2:16" ht="21" customHeight="1">
      <c r="B54" s="9" t="s">
        <v>774</v>
      </c>
      <c r="G54" s="16" t="s">
        <v>66</v>
      </c>
      <c r="H54" s="46" t="s">
        <v>67</v>
      </c>
      <c r="I54" s="3"/>
      <c r="J54" s="34" t="s">
        <v>68</v>
      </c>
      <c r="K54" s="56">
        <f>SUM(K11:K53)</f>
        <v>962544.1379999999</v>
      </c>
      <c r="L54" s="209"/>
      <c r="M54" s="210" t="s">
        <v>65</v>
      </c>
      <c r="N54" s="211"/>
      <c r="O54" s="56">
        <f>SUM(O11:O53)</f>
        <v>962544.138</v>
      </c>
      <c r="P54" s="209"/>
    </row>
    <row r="55" spans="2:16" ht="15.75" customHeight="1">
      <c r="B55" t="s">
        <v>775</v>
      </c>
      <c r="G55" s="16" t="s">
        <v>66</v>
      </c>
      <c r="H55" s="46" t="s">
        <v>67</v>
      </c>
      <c r="I55" s="3"/>
      <c r="J55" s="34" t="s">
        <v>68</v>
      </c>
      <c r="K55" s="212" t="s">
        <v>1025</v>
      </c>
      <c r="L55" s="28"/>
      <c r="M55" s="213" t="s">
        <v>65</v>
      </c>
      <c r="N55" s="214"/>
      <c r="O55" s="212" t="str">
        <f>K55</f>
        <v>*  </v>
      </c>
      <c r="P55" s="28"/>
    </row>
    <row r="56" spans="2:16" ht="15.75" customHeight="1" thickBot="1">
      <c r="B56" s="74" t="s">
        <v>776</v>
      </c>
      <c r="G56" s="16" t="s">
        <v>66</v>
      </c>
      <c r="H56" s="46" t="s">
        <v>67</v>
      </c>
      <c r="I56" s="3"/>
      <c r="J56" s="34" t="s">
        <v>68</v>
      </c>
      <c r="K56" s="215">
        <f>+K54+0.427</f>
        <v>962544.565</v>
      </c>
      <c r="L56" s="216"/>
      <c r="M56" s="218" t="s">
        <v>65</v>
      </c>
      <c r="N56" s="219"/>
      <c r="O56" s="215">
        <f>+O54+0.427</f>
        <v>962544.5650000001</v>
      </c>
      <c r="P56" s="24"/>
    </row>
    <row r="57" spans="7:16" ht="15.75" customHeight="1" thickTop="1">
      <c r="G57" s="14"/>
      <c r="H57" s="45"/>
      <c r="J57" s="34"/>
      <c r="K57" s="40"/>
      <c r="L57" s="21"/>
      <c r="M57" s="40"/>
      <c r="N57" s="21"/>
      <c r="O57" s="40"/>
      <c r="P57" s="21"/>
    </row>
    <row r="58" spans="2:16" ht="21" customHeight="1">
      <c r="B58" s="9" t="s">
        <v>69</v>
      </c>
      <c r="D58" s="152" t="s">
        <v>547</v>
      </c>
      <c r="F58" s="19"/>
      <c r="G58" s="18"/>
      <c r="H58" s="18"/>
      <c r="I58" s="39"/>
      <c r="J58" s="67"/>
      <c r="K58" s="14"/>
      <c r="M58" s="14"/>
      <c r="O58" s="40"/>
      <c r="P58" s="21"/>
    </row>
    <row r="59" spans="2:16" ht="17.25" customHeight="1">
      <c r="B59" s="9" t="s">
        <v>63</v>
      </c>
      <c r="D59" s="3" t="s">
        <v>70</v>
      </c>
      <c r="E59" s="3" t="s">
        <v>71</v>
      </c>
      <c r="F59" s="3"/>
      <c r="G59" s="68"/>
      <c r="H59" s="68"/>
      <c r="I59" s="42"/>
      <c r="J59" s="67"/>
      <c r="K59" s="14"/>
      <c r="M59" s="14"/>
      <c r="O59" s="40"/>
      <c r="P59" s="21"/>
    </row>
    <row r="60" spans="3:16" ht="15.75" customHeight="1">
      <c r="C60" s="43" t="s">
        <v>891</v>
      </c>
      <c r="D60" s="48" t="s">
        <v>651</v>
      </c>
      <c r="E60" s="48" t="s">
        <v>670</v>
      </c>
      <c r="F60" s="151"/>
      <c r="G60" s="52">
        <v>34561</v>
      </c>
      <c r="H60" s="46">
        <v>38214</v>
      </c>
      <c r="I60" s="3"/>
      <c r="J60" s="34" t="s">
        <v>564</v>
      </c>
      <c r="K60" s="40">
        <v>13346.467</v>
      </c>
      <c r="L60" s="21"/>
      <c r="M60" s="47" t="s">
        <v>65</v>
      </c>
      <c r="N60" s="27"/>
      <c r="O60" s="40">
        <f>K60-M60</f>
        <v>13346.467</v>
      </c>
      <c r="P60" s="21"/>
    </row>
    <row r="61" spans="3:16" ht="15.75" customHeight="1">
      <c r="C61" s="43" t="s">
        <v>1</v>
      </c>
      <c r="D61" s="48" t="s">
        <v>648</v>
      </c>
      <c r="E61" s="88" t="s">
        <v>647</v>
      </c>
      <c r="F61" s="151"/>
      <c r="G61" s="52">
        <v>36388</v>
      </c>
      <c r="H61" s="46">
        <v>38214</v>
      </c>
      <c r="I61" s="3"/>
      <c r="J61" s="34" t="s">
        <v>564</v>
      </c>
      <c r="K61" s="40">
        <v>18089.806</v>
      </c>
      <c r="L61" s="21"/>
      <c r="M61" s="47" t="s">
        <v>65</v>
      </c>
      <c r="N61" s="27"/>
      <c r="O61" s="40">
        <f>K61-M61</f>
        <v>18089.806</v>
      </c>
      <c r="P61" s="21"/>
    </row>
    <row r="62" spans="3:16" ht="15.75" customHeight="1">
      <c r="C62" s="43" t="s">
        <v>24</v>
      </c>
      <c r="D62" s="48" t="s">
        <v>653</v>
      </c>
      <c r="E62" s="88" t="s">
        <v>25</v>
      </c>
      <c r="F62" s="151"/>
      <c r="G62" s="52">
        <v>37502</v>
      </c>
      <c r="H62" s="89">
        <v>38230</v>
      </c>
      <c r="I62" s="3"/>
      <c r="J62" s="34" t="s">
        <v>567</v>
      </c>
      <c r="K62" s="40">
        <v>34541.397</v>
      </c>
      <c r="L62" s="21"/>
      <c r="M62" s="47" t="s">
        <v>65</v>
      </c>
      <c r="N62" s="27"/>
      <c r="O62" s="40">
        <f>K62+M62</f>
        <v>34541.397</v>
      </c>
      <c r="P62" s="21"/>
    </row>
    <row r="63" spans="3:16" ht="15.75" customHeight="1">
      <c r="C63" s="43" t="s">
        <v>27</v>
      </c>
      <c r="D63" s="48" t="s">
        <v>654</v>
      </c>
      <c r="E63" s="88" t="s">
        <v>28</v>
      </c>
      <c r="F63" s="151"/>
      <c r="G63" s="52">
        <v>37529</v>
      </c>
      <c r="H63" s="89">
        <v>38260</v>
      </c>
      <c r="I63" s="3"/>
      <c r="J63" s="34" t="s">
        <v>632</v>
      </c>
      <c r="K63" s="40">
        <v>34655.535</v>
      </c>
      <c r="L63" s="21"/>
      <c r="M63" s="47" t="s">
        <v>65</v>
      </c>
      <c r="N63" s="27"/>
      <c r="O63" s="40">
        <f>K63+M63</f>
        <v>34655.535</v>
      </c>
      <c r="P63" s="21"/>
    </row>
    <row r="64" spans="3:16" ht="15.75" customHeight="1">
      <c r="C64" s="43" t="s">
        <v>1167</v>
      </c>
      <c r="D64" s="48" t="s">
        <v>657</v>
      </c>
      <c r="E64" s="88" t="s">
        <v>25</v>
      </c>
      <c r="F64" s="151"/>
      <c r="G64" s="52">
        <v>37560</v>
      </c>
      <c r="H64" s="89">
        <v>38291</v>
      </c>
      <c r="I64" s="3"/>
      <c r="J64" s="34" t="s">
        <v>639</v>
      </c>
      <c r="K64" s="40">
        <v>32439.549</v>
      </c>
      <c r="L64" s="21"/>
      <c r="M64" s="47" t="s">
        <v>65</v>
      </c>
      <c r="N64" s="27"/>
      <c r="O64" s="40">
        <f>K64+M64</f>
        <v>32439.549</v>
      </c>
      <c r="P64" s="21"/>
    </row>
    <row r="65" spans="3:16" ht="15.75" customHeight="1">
      <c r="C65" s="43" t="s">
        <v>23</v>
      </c>
      <c r="D65" s="48" t="s">
        <v>660</v>
      </c>
      <c r="E65" s="48" t="s">
        <v>661</v>
      </c>
      <c r="F65" s="151"/>
      <c r="G65" s="52">
        <v>34653</v>
      </c>
      <c r="H65" s="46">
        <v>38306</v>
      </c>
      <c r="I65" s="3"/>
      <c r="J65" s="34" t="s">
        <v>642</v>
      </c>
      <c r="K65" s="40">
        <v>14373.76</v>
      </c>
      <c r="L65" s="21"/>
      <c r="M65" s="47" t="s">
        <v>65</v>
      </c>
      <c r="N65" s="27"/>
      <c r="O65" s="40">
        <f aca="true" t="shared" si="1" ref="O65:O71">K65-M65</f>
        <v>14373.76</v>
      </c>
      <c r="P65" s="21"/>
    </row>
    <row r="66" spans="3:16" ht="15.75" customHeight="1">
      <c r="C66" s="43" t="s">
        <v>2</v>
      </c>
      <c r="D66" s="48" t="s">
        <v>656</v>
      </c>
      <c r="E66" s="48" t="s">
        <v>80</v>
      </c>
      <c r="F66" s="151"/>
      <c r="G66" s="52">
        <v>36479</v>
      </c>
      <c r="H66" s="46">
        <v>38306</v>
      </c>
      <c r="I66" s="3"/>
      <c r="J66" s="34" t="s">
        <v>642</v>
      </c>
      <c r="K66" s="40">
        <v>32658.145</v>
      </c>
      <c r="L66" s="21"/>
      <c r="M66" s="47" t="s">
        <v>65</v>
      </c>
      <c r="N66" s="27"/>
      <c r="O66" s="40">
        <f t="shared" si="1"/>
        <v>32658.145</v>
      </c>
      <c r="P66" s="21"/>
    </row>
    <row r="67" spans="3:16" ht="15.75" customHeight="1">
      <c r="C67" s="43" t="s">
        <v>213</v>
      </c>
      <c r="D67" s="48" t="s">
        <v>662</v>
      </c>
      <c r="E67" s="48">
        <v>2</v>
      </c>
      <c r="F67" s="151"/>
      <c r="G67" s="52">
        <v>37592</v>
      </c>
      <c r="H67" s="46">
        <v>38321</v>
      </c>
      <c r="I67" s="3"/>
      <c r="J67" s="34" t="s">
        <v>645</v>
      </c>
      <c r="K67" s="40">
        <v>32871.32</v>
      </c>
      <c r="L67" s="21"/>
      <c r="M67" s="47" t="s">
        <v>65</v>
      </c>
      <c r="N67" s="27"/>
      <c r="O67" s="40">
        <f t="shared" si="1"/>
        <v>32871.32</v>
      </c>
      <c r="P67" s="21"/>
    </row>
    <row r="68" spans="3:16" ht="15.75" customHeight="1">
      <c r="C68" s="43" t="s">
        <v>214</v>
      </c>
      <c r="D68" s="48" t="s">
        <v>72</v>
      </c>
      <c r="E68" s="139" t="s">
        <v>216</v>
      </c>
      <c r="F68" s="151"/>
      <c r="G68" s="52">
        <v>37621</v>
      </c>
      <c r="H68" s="46">
        <v>38352</v>
      </c>
      <c r="I68" s="3"/>
      <c r="J68" s="134" t="s">
        <v>73</v>
      </c>
      <c r="K68" s="40">
        <v>33203.363</v>
      </c>
      <c r="L68" s="21"/>
      <c r="M68" s="47" t="s">
        <v>65</v>
      </c>
      <c r="N68" s="27"/>
      <c r="O68" s="40">
        <f t="shared" si="1"/>
        <v>33203.363</v>
      </c>
      <c r="P68" s="21"/>
    </row>
    <row r="69" spans="3:16" ht="15.75" customHeight="1">
      <c r="C69" s="43" t="s">
        <v>783</v>
      </c>
      <c r="D69" s="48" t="s">
        <v>648</v>
      </c>
      <c r="E69" s="139" t="s">
        <v>1177</v>
      </c>
      <c r="F69" s="151"/>
      <c r="G69" s="52">
        <v>37652</v>
      </c>
      <c r="H69" s="46">
        <v>38383</v>
      </c>
      <c r="I69" s="3"/>
      <c r="J69" s="34" t="s">
        <v>224</v>
      </c>
      <c r="K69" s="40">
        <v>33837.124</v>
      </c>
      <c r="L69" s="21"/>
      <c r="M69" s="47" t="s">
        <v>65</v>
      </c>
      <c r="N69" s="27"/>
      <c r="O69" s="40">
        <f t="shared" si="1"/>
        <v>33837.124</v>
      </c>
      <c r="P69" s="21"/>
    </row>
    <row r="70" spans="3:16" ht="15.75" customHeight="1">
      <c r="C70" s="43" t="s">
        <v>215</v>
      </c>
      <c r="D70" s="48" t="s">
        <v>81</v>
      </c>
      <c r="E70" s="48" t="s">
        <v>658</v>
      </c>
      <c r="F70" s="151"/>
      <c r="G70" s="52">
        <v>34745</v>
      </c>
      <c r="H70" s="46">
        <v>38398</v>
      </c>
      <c r="I70" s="3"/>
      <c r="J70" s="34" t="s">
        <v>146</v>
      </c>
      <c r="K70" s="40">
        <v>13834.754</v>
      </c>
      <c r="L70" s="21"/>
      <c r="M70" s="47" t="s">
        <v>65</v>
      </c>
      <c r="N70" s="27"/>
      <c r="O70" s="40">
        <f t="shared" si="1"/>
        <v>13834.754</v>
      </c>
      <c r="P70" s="21"/>
    </row>
    <row r="71" spans="3:16" ht="15.75" customHeight="1">
      <c r="C71" s="43" t="s">
        <v>233</v>
      </c>
      <c r="D71" s="48" t="s">
        <v>656</v>
      </c>
      <c r="E71" s="139" t="s">
        <v>234</v>
      </c>
      <c r="F71" s="151"/>
      <c r="G71" s="52">
        <v>37680</v>
      </c>
      <c r="H71" s="46">
        <v>38411</v>
      </c>
      <c r="I71" s="3"/>
      <c r="J71" s="34" t="s">
        <v>148</v>
      </c>
      <c r="K71" s="40">
        <v>35331.909</v>
      </c>
      <c r="L71" s="21"/>
      <c r="M71" s="47" t="s">
        <v>65</v>
      </c>
      <c r="N71" s="27"/>
      <c r="O71" s="40">
        <f t="shared" si="1"/>
        <v>35331.909</v>
      </c>
      <c r="P71" s="21"/>
    </row>
    <row r="72" spans="3:16" ht="15.75" customHeight="1">
      <c r="C72" s="43" t="s">
        <v>1057</v>
      </c>
      <c r="D72" s="48" t="s">
        <v>78</v>
      </c>
      <c r="E72" s="139" t="s">
        <v>1177</v>
      </c>
      <c r="F72" s="151"/>
      <c r="G72" s="52">
        <v>37711</v>
      </c>
      <c r="H72" s="46">
        <v>38442</v>
      </c>
      <c r="I72" s="3"/>
      <c r="J72" s="34" t="s">
        <v>1228</v>
      </c>
      <c r="K72" s="40">
        <v>35211.162</v>
      </c>
      <c r="L72" s="21"/>
      <c r="M72" s="47" t="s">
        <v>65</v>
      </c>
      <c r="N72" s="27"/>
      <c r="O72" s="40">
        <f>K72</f>
        <v>35211.162</v>
      </c>
      <c r="P72" s="21"/>
    </row>
    <row r="73" spans="3:16" ht="15.75" customHeight="1">
      <c r="C73" s="43" t="s">
        <v>487</v>
      </c>
      <c r="D73" s="48" t="s">
        <v>565</v>
      </c>
      <c r="E73" s="139" t="s">
        <v>1177</v>
      </c>
      <c r="F73" s="151"/>
      <c r="G73" s="52">
        <v>37741</v>
      </c>
      <c r="H73" s="46">
        <v>38472</v>
      </c>
      <c r="I73" s="3"/>
      <c r="J73" s="34" t="s">
        <v>1227</v>
      </c>
      <c r="K73" s="40">
        <v>34295.459</v>
      </c>
      <c r="L73" s="21"/>
      <c r="M73" s="47" t="s">
        <v>65</v>
      </c>
      <c r="N73" s="27"/>
      <c r="O73" s="40">
        <f>K73</f>
        <v>34295.459</v>
      </c>
      <c r="P73" s="21"/>
    </row>
    <row r="74" spans="3:16" ht="15.75" customHeight="1">
      <c r="C74" s="43" t="s">
        <v>888</v>
      </c>
      <c r="D74" s="48" t="s">
        <v>640</v>
      </c>
      <c r="E74" s="48" t="s">
        <v>638</v>
      </c>
      <c r="F74" s="151"/>
      <c r="G74" s="52">
        <v>34834</v>
      </c>
      <c r="H74" s="46">
        <v>38487</v>
      </c>
      <c r="I74" s="3"/>
      <c r="J74" s="34" t="s">
        <v>147</v>
      </c>
      <c r="K74" s="40">
        <v>14739.504</v>
      </c>
      <c r="L74" s="21"/>
      <c r="M74" s="47" t="s">
        <v>65</v>
      </c>
      <c r="N74" s="27"/>
      <c r="O74" s="40">
        <f aca="true" t="shared" si="2" ref="O74:O79">K74-M74</f>
        <v>14739.504</v>
      </c>
      <c r="P74" s="21"/>
    </row>
    <row r="75" spans="3:16" ht="15.75" customHeight="1">
      <c r="C75" s="43" t="s">
        <v>3</v>
      </c>
      <c r="D75" s="48" t="s">
        <v>75</v>
      </c>
      <c r="E75" s="88" t="s">
        <v>644</v>
      </c>
      <c r="F75" s="151"/>
      <c r="G75" s="52">
        <v>36661</v>
      </c>
      <c r="H75" s="46">
        <v>38487</v>
      </c>
      <c r="I75" s="3"/>
      <c r="J75" s="34" t="s">
        <v>147</v>
      </c>
      <c r="K75" s="40">
        <v>28562.37</v>
      </c>
      <c r="L75" s="21"/>
      <c r="M75" s="47" t="s">
        <v>65</v>
      </c>
      <c r="N75" s="27"/>
      <c r="O75" s="40">
        <f t="shared" si="2"/>
        <v>28562.37</v>
      </c>
      <c r="P75" s="21"/>
    </row>
    <row r="76" spans="3:16" ht="15.75" customHeight="1">
      <c r="C76" s="43" t="s">
        <v>227</v>
      </c>
      <c r="D76" s="48" t="s">
        <v>568</v>
      </c>
      <c r="E76" s="139" t="s">
        <v>119</v>
      </c>
      <c r="F76" s="151"/>
      <c r="G76" s="52">
        <v>37774</v>
      </c>
      <c r="H76" s="46">
        <v>38503</v>
      </c>
      <c r="I76" s="3"/>
      <c r="J76" s="34" t="s">
        <v>144</v>
      </c>
      <c r="K76" s="40">
        <v>31020.836</v>
      </c>
      <c r="L76" s="21"/>
      <c r="M76" s="47" t="s">
        <v>65</v>
      </c>
      <c r="N76" s="27"/>
      <c r="O76" s="40">
        <f t="shared" si="2"/>
        <v>31020.836</v>
      </c>
      <c r="P76" s="21"/>
    </row>
    <row r="77" spans="3:16" ht="15.75" customHeight="1">
      <c r="C77" s="43" t="s">
        <v>226</v>
      </c>
      <c r="D77" s="48" t="s">
        <v>637</v>
      </c>
      <c r="E77" s="139" t="s">
        <v>483</v>
      </c>
      <c r="F77" s="151"/>
      <c r="G77" s="52">
        <v>37802</v>
      </c>
      <c r="H77" s="46">
        <v>38533</v>
      </c>
      <c r="I77" s="3"/>
      <c r="J77" s="34" t="s">
        <v>145</v>
      </c>
      <c r="K77" s="40">
        <v>31701.455</v>
      </c>
      <c r="L77" s="21"/>
      <c r="M77" s="47" t="s">
        <v>65</v>
      </c>
      <c r="N77" s="27"/>
      <c r="O77" s="40">
        <f t="shared" si="2"/>
        <v>31701.455</v>
      </c>
      <c r="P77" s="21"/>
    </row>
    <row r="78" spans="3:16" ht="15.75" customHeight="1">
      <c r="C78" s="43" t="s">
        <v>107</v>
      </c>
      <c r="D78" s="48" t="s">
        <v>643</v>
      </c>
      <c r="E78" s="139" t="s">
        <v>234</v>
      </c>
      <c r="F78" s="151"/>
      <c r="G78" s="52">
        <v>37833</v>
      </c>
      <c r="H78" s="46">
        <v>38564</v>
      </c>
      <c r="I78" s="3"/>
      <c r="J78" s="34" t="s">
        <v>79</v>
      </c>
      <c r="K78" s="40">
        <v>29997.026</v>
      </c>
      <c r="L78" s="21"/>
      <c r="M78" s="47" t="s">
        <v>65</v>
      </c>
      <c r="N78" s="27"/>
      <c r="O78" s="40">
        <f t="shared" si="2"/>
        <v>29997.026</v>
      </c>
      <c r="P78" s="21"/>
    </row>
    <row r="79" spans="3:16" ht="15.75" customHeight="1">
      <c r="C79" s="43" t="s">
        <v>120</v>
      </c>
      <c r="D79" s="48" t="s">
        <v>651</v>
      </c>
      <c r="E79" s="48" t="s">
        <v>638</v>
      </c>
      <c r="F79" s="151"/>
      <c r="G79" s="52">
        <v>34926</v>
      </c>
      <c r="H79" s="46">
        <v>38579</v>
      </c>
      <c r="I79" s="3"/>
      <c r="J79" s="34" t="s">
        <v>564</v>
      </c>
      <c r="K79" s="40">
        <v>15002.58</v>
      </c>
      <c r="L79" s="21"/>
      <c r="M79" s="47" t="s">
        <v>65</v>
      </c>
      <c r="N79" s="27"/>
      <c r="O79" s="40">
        <f t="shared" si="2"/>
        <v>15002.58</v>
      </c>
      <c r="P79" s="21"/>
    </row>
    <row r="80" spans="3:16" ht="15.75" customHeight="1">
      <c r="C80" s="43" t="s">
        <v>176</v>
      </c>
      <c r="D80" s="48" t="s">
        <v>646</v>
      </c>
      <c r="E80" s="88">
        <v>2</v>
      </c>
      <c r="F80" s="151"/>
      <c r="G80" s="52">
        <v>37866</v>
      </c>
      <c r="H80" s="46">
        <v>38595</v>
      </c>
      <c r="I80" s="3"/>
      <c r="J80" s="34" t="s">
        <v>177</v>
      </c>
      <c r="K80" s="40">
        <v>30592.178</v>
      </c>
      <c r="L80" s="21"/>
      <c r="M80" s="47" t="s">
        <v>65</v>
      </c>
      <c r="N80" s="27"/>
      <c r="O80" s="40">
        <f>K80-M80</f>
        <v>30592.178</v>
      </c>
      <c r="P80" s="21"/>
    </row>
    <row r="81" spans="3:16" ht="15.75" customHeight="1">
      <c r="C81" s="43" t="s">
        <v>219</v>
      </c>
      <c r="D81" s="48" t="s">
        <v>649</v>
      </c>
      <c r="E81" s="88" t="s">
        <v>1177</v>
      </c>
      <c r="F81" s="151"/>
      <c r="G81" s="52">
        <v>37894</v>
      </c>
      <c r="H81" s="46">
        <v>38625</v>
      </c>
      <c r="I81" s="3"/>
      <c r="J81" s="34" t="s">
        <v>632</v>
      </c>
      <c r="K81" s="40">
        <v>31538.969</v>
      </c>
      <c r="L81" s="21"/>
      <c r="M81" s="47" t="s">
        <v>65</v>
      </c>
      <c r="N81" s="27"/>
      <c r="O81" s="40">
        <f>K81-M81</f>
        <v>31538.969</v>
      </c>
      <c r="P81" s="21"/>
    </row>
    <row r="82" spans="3:16" ht="15.75" customHeight="1">
      <c r="C82" s="43" t="s">
        <v>827</v>
      </c>
      <c r="D82" s="48" t="s">
        <v>653</v>
      </c>
      <c r="E82" s="88" t="s">
        <v>1177</v>
      </c>
      <c r="F82" s="151"/>
      <c r="G82" s="52">
        <v>37925</v>
      </c>
      <c r="H82" s="46">
        <v>38656</v>
      </c>
      <c r="I82" s="3"/>
      <c r="J82" s="34" t="s">
        <v>639</v>
      </c>
      <c r="K82" s="40">
        <v>32368.42</v>
      </c>
      <c r="L82" s="21"/>
      <c r="M82" s="47" t="s">
        <v>65</v>
      </c>
      <c r="N82" s="27"/>
      <c r="O82" s="40">
        <f>K82-M82</f>
        <v>32368.42</v>
      </c>
      <c r="P82" s="21"/>
    </row>
    <row r="83" spans="3:16" ht="15.75" customHeight="1">
      <c r="C83" s="43" t="s">
        <v>175</v>
      </c>
      <c r="D83" s="48" t="s">
        <v>660</v>
      </c>
      <c r="E83" s="48" t="s">
        <v>80</v>
      </c>
      <c r="F83" s="151"/>
      <c r="G83" s="52">
        <v>35027</v>
      </c>
      <c r="H83" s="46">
        <v>38671</v>
      </c>
      <c r="I83" s="3"/>
      <c r="J83" s="34" t="s">
        <v>642</v>
      </c>
      <c r="K83" s="40">
        <v>15209.92</v>
      </c>
      <c r="L83" s="21"/>
      <c r="M83" s="47" t="s">
        <v>65</v>
      </c>
      <c r="N83" s="27"/>
      <c r="O83" s="40">
        <f>K83-M83</f>
        <v>15209.92</v>
      </c>
      <c r="P83" s="21"/>
    </row>
    <row r="84" spans="3:16" ht="15.75" customHeight="1">
      <c r="C84" s="43" t="s">
        <v>623</v>
      </c>
      <c r="D84" s="48" t="s">
        <v>634</v>
      </c>
      <c r="E84" s="88" t="s">
        <v>74</v>
      </c>
      <c r="F84" s="151"/>
      <c r="G84" s="52">
        <v>36845</v>
      </c>
      <c r="H84" s="46">
        <v>38671</v>
      </c>
      <c r="I84" s="3"/>
      <c r="J84" s="34" t="s">
        <v>642</v>
      </c>
      <c r="K84" s="40">
        <v>28062.797</v>
      </c>
      <c r="L84" s="21"/>
      <c r="M84" s="47" t="s">
        <v>65</v>
      </c>
      <c r="N84" s="27"/>
      <c r="O84" s="40">
        <f>K84-M84</f>
        <v>28062.797</v>
      </c>
      <c r="P84" s="21"/>
    </row>
    <row r="85" spans="1:16" ht="15.75" customHeight="1" thickBot="1">
      <c r="A85" s="99"/>
      <c r="B85" s="99"/>
      <c r="C85" s="128"/>
      <c r="D85" s="100"/>
      <c r="E85" s="100"/>
      <c r="F85" s="167"/>
      <c r="G85" s="404"/>
      <c r="H85" s="405"/>
      <c r="I85" s="129"/>
      <c r="J85" s="100"/>
      <c r="K85" s="102"/>
      <c r="L85" s="102"/>
      <c r="M85" s="103"/>
      <c r="N85" s="103"/>
      <c r="O85" s="102"/>
      <c r="P85" s="102"/>
    </row>
    <row r="86" spans="1:16" ht="16.5" thickTop="1">
      <c r="A86" s="93"/>
      <c r="B86" s="2" t="s">
        <v>258</v>
      </c>
      <c r="C86" s="2"/>
      <c r="D86" s="3"/>
      <c r="E86" s="3"/>
      <c r="F86" s="3"/>
      <c r="G86" s="3"/>
      <c r="H86" s="3"/>
      <c r="I86" s="29"/>
      <c r="J86" s="3"/>
      <c r="K86" s="3"/>
      <c r="L86" s="3"/>
      <c r="M86" s="3"/>
      <c r="N86" s="3"/>
      <c r="O86" s="3"/>
      <c r="P86" s="94">
        <v>3</v>
      </c>
    </row>
    <row r="87" spans="1:16" ht="10.5" customHeight="1" thickBot="1">
      <c r="A87" s="2"/>
      <c r="B87" s="2"/>
      <c r="C87" s="2"/>
      <c r="D87" s="3"/>
      <c r="E87" s="3"/>
      <c r="F87" s="3"/>
      <c r="G87" s="3"/>
      <c r="H87" s="3"/>
      <c r="I87" s="29"/>
      <c r="K87" s="3"/>
      <c r="L87" s="3"/>
      <c r="M87" s="3"/>
      <c r="N87" s="3"/>
      <c r="O87" s="3"/>
      <c r="P87" s="2"/>
    </row>
    <row r="88" spans="1:16" ht="15.75" customHeight="1" thickTop="1">
      <c r="A88" s="32"/>
      <c r="B88" s="32"/>
      <c r="C88" s="32"/>
      <c r="D88" s="32"/>
      <c r="E88" s="32"/>
      <c r="F88" s="32"/>
      <c r="G88" s="26"/>
      <c r="H88" s="26"/>
      <c r="I88" s="33"/>
      <c r="J88" s="66"/>
      <c r="K88" s="26"/>
      <c r="L88" s="32"/>
      <c r="M88" s="32"/>
      <c r="N88" s="32"/>
      <c r="O88" s="32"/>
      <c r="P88" s="32"/>
    </row>
    <row r="89" spans="3:16" ht="15.75" customHeight="1">
      <c r="C89" s="48"/>
      <c r="G89" s="16" t="s">
        <v>573</v>
      </c>
      <c r="H89" s="16" t="s">
        <v>574</v>
      </c>
      <c r="I89" s="29"/>
      <c r="J89" s="34" t="s">
        <v>575</v>
      </c>
      <c r="K89" s="16" t="s">
        <v>576</v>
      </c>
      <c r="L89" s="3"/>
      <c r="M89" s="3"/>
      <c r="N89" s="3"/>
      <c r="O89" s="3"/>
      <c r="P89" s="3"/>
    </row>
    <row r="90" spans="1:11" ht="15.75" customHeight="1">
      <c r="A90" s="3" t="s">
        <v>577</v>
      </c>
      <c r="B90" s="3"/>
      <c r="C90" s="3"/>
      <c r="D90" s="3"/>
      <c r="E90" s="3"/>
      <c r="F90" s="3"/>
      <c r="G90" s="16" t="s">
        <v>578</v>
      </c>
      <c r="H90" s="16" t="s">
        <v>579</v>
      </c>
      <c r="I90" s="29"/>
      <c r="J90" s="34" t="s">
        <v>580</v>
      </c>
      <c r="K90" s="14"/>
    </row>
    <row r="91" spans="1:16" ht="16.5" customHeight="1">
      <c r="A91" s="15"/>
      <c r="B91" s="15"/>
      <c r="C91" s="15"/>
      <c r="D91" s="15"/>
      <c r="E91" s="15"/>
      <c r="F91" s="15"/>
      <c r="G91" s="35"/>
      <c r="H91" s="35"/>
      <c r="I91" s="36"/>
      <c r="J91" s="61"/>
      <c r="K91" s="37" t="s">
        <v>581</v>
      </c>
      <c r="L91" s="38"/>
      <c r="M91" s="37" t="s">
        <v>60</v>
      </c>
      <c r="N91" s="38"/>
      <c r="O91" s="37" t="s">
        <v>862</v>
      </c>
      <c r="P91" s="38"/>
    </row>
    <row r="92" spans="7:15" ht="15.75" customHeight="1">
      <c r="G92" s="14"/>
      <c r="H92" s="14"/>
      <c r="I92" s="31"/>
      <c r="J92" s="34"/>
      <c r="K92" s="14"/>
      <c r="M92" s="14"/>
      <c r="O92" s="14"/>
    </row>
    <row r="93" spans="1:16" ht="18" customHeight="1">
      <c r="A93" s="60" t="s">
        <v>118</v>
      </c>
      <c r="B93" s="60"/>
      <c r="G93" s="18"/>
      <c r="H93" s="18"/>
      <c r="I93" s="39"/>
      <c r="J93" s="67"/>
      <c r="K93" s="14"/>
      <c r="M93" s="14"/>
      <c r="O93" s="40"/>
      <c r="P93" s="21"/>
    </row>
    <row r="94" spans="2:16" ht="17.25" customHeight="1">
      <c r="B94" s="9" t="s">
        <v>63</v>
      </c>
      <c r="D94" s="3" t="s">
        <v>70</v>
      </c>
      <c r="E94" s="3" t="s">
        <v>71</v>
      </c>
      <c r="F94" s="3"/>
      <c r="G94" s="69"/>
      <c r="I94" s="42"/>
      <c r="J94" s="67"/>
      <c r="K94" s="14"/>
      <c r="M94" s="14"/>
      <c r="O94" s="40"/>
      <c r="P94" s="21"/>
    </row>
    <row r="95" spans="3:16" ht="15.75" customHeight="1">
      <c r="C95" s="87" t="s">
        <v>266</v>
      </c>
      <c r="D95" s="48" t="s">
        <v>654</v>
      </c>
      <c r="E95" s="139" t="s">
        <v>28</v>
      </c>
      <c r="F95" s="151"/>
      <c r="G95" s="52">
        <v>37956</v>
      </c>
      <c r="H95" s="46">
        <v>38686</v>
      </c>
      <c r="I95" s="3"/>
      <c r="J95" s="34" t="s">
        <v>645</v>
      </c>
      <c r="K95" s="40">
        <v>32203.806</v>
      </c>
      <c r="L95" s="21"/>
      <c r="M95" s="47" t="s">
        <v>65</v>
      </c>
      <c r="N95" s="27"/>
      <c r="O95" s="40">
        <f>K95-M95</f>
        <v>32203.806</v>
      </c>
      <c r="P95" s="21"/>
    </row>
    <row r="96" spans="3:16" ht="15.75" customHeight="1">
      <c r="C96" s="43" t="s">
        <v>268</v>
      </c>
      <c r="D96" s="48" t="s">
        <v>657</v>
      </c>
      <c r="E96" s="139" t="s">
        <v>28</v>
      </c>
      <c r="F96" s="151"/>
      <c r="G96" s="52">
        <v>37986</v>
      </c>
      <c r="H96" s="46">
        <v>38717</v>
      </c>
      <c r="I96" s="3"/>
      <c r="J96" s="34" t="s">
        <v>73</v>
      </c>
      <c r="K96" s="40">
        <v>33996.27</v>
      </c>
      <c r="L96" s="21"/>
      <c r="M96" s="47" t="s">
        <v>65</v>
      </c>
      <c r="N96" s="27"/>
      <c r="O96" s="40">
        <f>K96-M96</f>
        <v>33996.27</v>
      </c>
      <c r="P96" s="21"/>
    </row>
    <row r="97" spans="3:16" ht="15.75" customHeight="1">
      <c r="C97" s="43" t="s">
        <v>742</v>
      </c>
      <c r="D97" s="48" t="s">
        <v>565</v>
      </c>
      <c r="E97" s="139" t="s">
        <v>28</v>
      </c>
      <c r="F97" s="151"/>
      <c r="G97" s="52">
        <v>38019</v>
      </c>
      <c r="H97" s="46">
        <v>38748</v>
      </c>
      <c r="I97" s="3"/>
      <c r="J97" s="34" t="s">
        <v>224</v>
      </c>
      <c r="K97" s="40">
        <v>32533.188</v>
      </c>
      <c r="L97" s="21"/>
      <c r="M97" s="47" t="s">
        <v>65</v>
      </c>
      <c r="N97" s="27"/>
      <c r="O97" s="40">
        <f>K97-M97</f>
        <v>32533.188</v>
      </c>
      <c r="P97" s="21"/>
    </row>
    <row r="98" spans="3:16" ht="15.75" customHeight="1">
      <c r="C98" s="87" t="s">
        <v>265</v>
      </c>
      <c r="D98" s="48" t="s">
        <v>81</v>
      </c>
      <c r="E98" s="48" t="s">
        <v>659</v>
      </c>
      <c r="F98" s="151"/>
      <c r="G98" s="52">
        <v>35110</v>
      </c>
      <c r="H98" s="46">
        <v>38763</v>
      </c>
      <c r="I98" s="3"/>
      <c r="J98" s="34" t="s">
        <v>564</v>
      </c>
      <c r="K98" s="40">
        <v>15513.587</v>
      </c>
      <c r="L98" s="21"/>
      <c r="M98" s="47" t="s">
        <v>65</v>
      </c>
      <c r="N98" s="27"/>
      <c r="O98" s="40">
        <f>K98-M98</f>
        <v>15513.587</v>
      </c>
      <c r="P98" s="21"/>
    </row>
    <row r="99" spans="3:16" ht="15.75" customHeight="1">
      <c r="C99" s="43" t="s">
        <v>842</v>
      </c>
      <c r="D99" s="48" t="s">
        <v>568</v>
      </c>
      <c r="E99" s="139" t="s">
        <v>1177</v>
      </c>
      <c r="F99" s="151"/>
      <c r="G99" s="52">
        <v>38047</v>
      </c>
      <c r="H99" s="46">
        <v>38776</v>
      </c>
      <c r="I99" s="3"/>
      <c r="J99" s="34" t="s">
        <v>841</v>
      </c>
      <c r="K99" s="40">
        <v>34001.95</v>
      </c>
      <c r="L99" s="21"/>
      <c r="M99" s="47" t="s">
        <v>65</v>
      </c>
      <c r="N99" s="27"/>
      <c r="O99" s="40">
        <f>K99+M99</f>
        <v>34001.95</v>
      </c>
      <c r="P99" s="21"/>
    </row>
    <row r="100" spans="3:16" ht="15.75" customHeight="1">
      <c r="C100" s="43" t="s">
        <v>98</v>
      </c>
      <c r="D100" s="48" t="s">
        <v>637</v>
      </c>
      <c r="E100" s="139" t="s">
        <v>234</v>
      </c>
      <c r="F100" s="151"/>
      <c r="G100" s="52">
        <v>38077</v>
      </c>
      <c r="H100" s="46">
        <v>38807</v>
      </c>
      <c r="I100" s="3"/>
      <c r="J100" s="34" t="s">
        <v>1228</v>
      </c>
      <c r="K100" s="40">
        <v>34338.606</v>
      </c>
      <c r="L100" s="21"/>
      <c r="M100" s="47" t="s">
        <v>65</v>
      </c>
      <c r="N100" s="27"/>
      <c r="O100" s="40">
        <f aca="true" t="shared" si="3" ref="O100:O107">K100+M100</f>
        <v>34338.606</v>
      </c>
      <c r="P100" s="21"/>
    </row>
    <row r="101" spans="3:16" ht="15.75" customHeight="1">
      <c r="C101" s="43" t="s">
        <v>718</v>
      </c>
      <c r="D101" s="48" t="s">
        <v>643</v>
      </c>
      <c r="E101" s="139" t="s">
        <v>1122</v>
      </c>
      <c r="F101" s="151"/>
      <c r="G101" s="52">
        <v>38107</v>
      </c>
      <c r="H101" s="46">
        <v>38837</v>
      </c>
      <c r="I101" s="3"/>
      <c r="J101" s="34" t="s">
        <v>1227</v>
      </c>
      <c r="K101" s="40">
        <v>34334.801</v>
      </c>
      <c r="L101" s="21"/>
      <c r="M101" s="47" t="s">
        <v>65</v>
      </c>
      <c r="N101" s="27"/>
      <c r="O101" s="40">
        <f>K101+M101</f>
        <v>34334.801</v>
      </c>
      <c r="P101" s="21"/>
    </row>
    <row r="102" spans="3:16" ht="15.75" customHeight="1">
      <c r="C102" s="43" t="s">
        <v>720</v>
      </c>
      <c r="D102" s="48" t="s">
        <v>640</v>
      </c>
      <c r="E102" s="48" t="s">
        <v>650</v>
      </c>
      <c r="F102" s="151"/>
      <c r="G102" s="52">
        <v>35200</v>
      </c>
      <c r="H102" s="46">
        <v>38852</v>
      </c>
      <c r="I102" s="3"/>
      <c r="J102" s="34" t="s">
        <v>147</v>
      </c>
      <c r="K102" s="40">
        <v>16015.475</v>
      </c>
      <c r="L102" s="21"/>
      <c r="M102" s="47" t="s">
        <v>65</v>
      </c>
      <c r="N102" s="27"/>
      <c r="O102" s="40">
        <f t="shared" si="3"/>
        <v>16015.475</v>
      </c>
      <c r="P102" s="21"/>
    </row>
    <row r="103" spans="3:16" ht="15.75" customHeight="1">
      <c r="C103" s="43" t="s">
        <v>232</v>
      </c>
      <c r="D103" s="48" t="s">
        <v>75</v>
      </c>
      <c r="E103" s="88" t="s">
        <v>745</v>
      </c>
      <c r="F103" s="151"/>
      <c r="G103" s="52">
        <v>37026</v>
      </c>
      <c r="H103" s="46">
        <v>38852</v>
      </c>
      <c r="I103" s="3"/>
      <c r="J103" s="34" t="s">
        <v>147</v>
      </c>
      <c r="K103" s="40">
        <v>27797.852</v>
      </c>
      <c r="L103" s="21"/>
      <c r="M103" s="47" t="s">
        <v>65</v>
      </c>
      <c r="N103" s="27"/>
      <c r="O103" s="40">
        <f t="shared" si="3"/>
        <v>27797.852</v>
      </c>
      <c r="P103" s="21"/>
    </row>
    <row r="104" spans="3:16" ht="15.75" customHeight="1">
      <c r="C104" s="43" t="s">
        <v>366</v>
      </c>
      <c r="D104" s="48" t="s">
        <v>648</v>
      </c>
      <c r="E104" s="88">
        <v>2</v>
      </c>
      <c r="F104" s="151"/>
      <c r="G104" s="52">
        <v>37756</v>
      </c>
      <c r="H104" s="46">
        <v>38852</v>
      </c>
      <c r="I104" s="3"/>
      <c r="J104" s="34" t="s">
        <v>147</v>
      </c>
      <c r="K104" s="40">
        <v>22391.759</v>
      </c>
      <c r="L104" s="21"/>
      <c r="M104" s="47" t="s">
        <v>65</v>
      </c>
      <c r="N104" s="27"/>
      <c r="O104" s="40">
        <f t="shared" si="3"/>
        <v>22391.759</v>
      </c>
      <c r="P104" s="21"/>
    </row>
    <row r="105" spans="3:16" ht="15.75" customHeight="1">
      <c r="C105" s="43" t="s">
        <v>896</v>
      </c>
      <c r="D105" s="48" t="s">
        <v>646</v>
      </c>
      <c r="E105" s="88" t="s">
        <v>897</v>
      </c>
      <c r="F105" s="151"/>
      <c r="G105" s="52">
        <v>38139</v>
      </c>
      <c r="H105" s="46">
        <v>38868</v>
      </c>
      <c r="I105" s="3"/>
      <c r="J105" s="34" t="s">
        <v>144</v>
      </c>
      <c r="K105" s="40">
        <v>31307.947</v>
      </c>
      <c r="L105" s="21"/>
      <c r="M105" s="47" t="s">
        <v>65</v>
      </c>
      <c r="N105" s="27"/>
      <c r="O105" s="40">
        <f>K105+M105</f>
        <v>31307.947</v>
      </c>
      <c r="P105" s="21"/>
    </row>
    <row r="106" spans="3:16" ht="15.75" customHeight="1">
      <c r="C106" s="43" t="s">
        <v>898</v>
      </c>
      <c r="D106" s="48" t="s">
        <v>649</v>
      </c>
      <c r="E106" s="88" t="s">
        <v>899</v>
      </c>
      <c r="F106" s="151"/>
      <c r="G106" s="52">
        <v>38168</v>
      </c>
      <c r="H106" s="46">
        <v>38898</v>
      </c>
      <c r="I106" s="3"/>
      <c r="J106" s="34" t="s">
        <v>145</v>
      </c>
      <c r="K106" s="40">
        <v>32587.733</v>
      </c>
      <c r="L106" s="21"/>
      <c r="M106" s="47" t="s">
        <v>65</v>
      </c>
      <c r="N106" s="27"/>
      <c r="O106" s="40">
        <f>K106+M106</f>
        <v>32587.733</v>
      </c>
      <c r="P106" s="21"/>
    </row>
    <row r="107" spans="3:16" ht="15.75" customHeight="1">
      <c r="C107" s="43" t="s">
        <v>367</v>
      </c>
      <c r="D107" s="48" t="s">
        <v>651</v>
      </c>
      <c r="E107" s="48" t="s">
        <v>635</v>
      </c>
      <c r="F107" s="151"/>
      <c r="G107" s="52">
        <v>35261</v>
      </c>
      <c r="H107" s="46">
        <v>38913</v>
      </c>
      <c r="I107" s="3"/>
      <c r="J107" s="34" t="s">
        <v>77</v>
      </c>
      <c r="K107" s="40">
        <v>22740.446</v>
      </c>
      <c r="L107" s="21"/>
      <c r="M107" s="47" t="s">
        <v>65</v>
      </c>
      <c r="N107" s="27"/>
      <c r="O107" s="40">
        <f t="shared" si="3"/>
        <v>22740.446</v>
      </c>
      <c r="P107" s="21"/>
    </row>
    <row r="108" spans="3:16" ht="15.75" customHeight="1">
      <c r="C108" s="87" t="s">
        <v>248</v>
      </c>
      <c r="D108" s="48" t="s">
        <v>656</v>
      </c>
      <c r="E108" s="88" t="s">
        <v>249</v>
      </c>
      <c r="F108" s="151"/>
      <c r="G108" s="52">
        <v>37848</v>
      </c>
      <c r="H108" s="46">
        <v>38944</v>
      </c>
      <c r="I108" s="3"/>
      <c r="J108" s="34" t="s">
        <v>564</v>
      </c>
      <c r="K108" s="40">
        <v>27909.346</v>
      </c>
      <c r="L108" s="21"/>
      <c r="M108" s="47" t="s">
        <v>65</v>
      </c>
      <c r="N108" s="27"/>
      <c r="O108" s="40">
        <f>K108</f>
        <v>27909.346</v>
      </c>
      <c r="P108" s="21"/>
    </row>
    <row r="109" spans="3:16" ht="15.75" customHeight="1">
      <c r="C109" s="43" t="s">
        <v>1101</v>
      </c>
      <c r="D109" s="48" t="s">
        <v>660</v>
      </c>
      <c r="E109" s="48" t="s">
        <v>638</v>
      </c>
      <c r="F109" s="151"/>
      <c r="G109" s="52">
        <v>35353</v>
      </c>
      <c r="H109" s="89">
        <v>39005</v>
      </c>
      <c r="I109" s="3"/>
      <c r="J109" s="34" t="s">
        <v>636</v>
      </c>
      <c r="K109" s="40">
        <v>22459.675</v>
      </c>
      <c r="L109" s="21"/>
      <c r="M109" s="47" t="s">
        <v>65</v>
      </c>
      <c r="N109" s="27"/>
      <c r="O109" s="40">
        <f aca="true" t="shared" si="4" ref="O109:O123">K109+M109</f>
        <v>22459.675</v>
      </c>
      <c r="P109" s="21"/>
    </row>
    <row r="110" spans="3:16" ht="15.75" customHeight="1">
      <c r="C110" s="43" t="s">
        <v>1022</v>
      </c>
      <c r="D110" s="48" t="s">
        <v>634</v>
      </c>
      <c r="E110" s="139" t="s">
        <v>955</v>
      </c>
      <c r="F110" s="151"/>
      <c r="G110" s="52">
        <v>37210</v>
      </c>
      <c r="H110" s="89">
        <v>39036</v>
      </c>
      <c r="I110" s="3"/>
      <c r="J110" s="34" t="s">
        <v>642</v>
      </c>
      <c r="K110" s="40">
        <v>35380.129</v>
      </c>
      <c r="L110" s="21"/>
      <c r="M110" s="47" t="s">
        <v>65</v>
      </c>
      <c r="N110" s="27"/>
      <c r="O110" s="40">
        <f t="shared" si="4"/>
        <v>35380.129</v>
      </c>
      <c r="P110" s="21"/>
    </row>
    <row r="111" spans="3:16" ht="15.75" customHeight="1">
      <c r="C111" s="87" t="s">
        <v>981</v>
      </c>
      <c r="D111" s="48" t="s">
        <v>78</v>
      </c>
      <c r="E111" s="139" t="s">
        <v>369</v>
      </c>
      <c r="F111" s="151"/>
      <c r="G111" s="52">
        <v>37942</v>
      </c>
      <c r="H111" s="89">
        <v>39036</v>
      </c>
      <c r="I111" s="3"/>
      <c r="J111" s="34" t="s">
        <v>642</v>
      </c>
      <c r="K111" s="40">
        <v>26535.905</v>
      </c>
      <c r="L111" s="21"/>
      <c r="M111" s="47" t="s">
        <v>65</v>
      </c>
      <c r="N111" s="27"/>
      <c r="O111" s="40">
        <f t="shared" si="4"/>
        <v>26535.905</v>
      </c>
      <c r="P111" s="21"/>
    </row>
    <row r="112" spans="3:16" ht="15.75" customHeight="1">
      <c r="C112" s="43" t="s">
        <v>982</v>
      </c>
      <c r="D112" s="48" t="s">
        <v>640</v>
      </c>
      <c r="E112" s="48" t="s">
        <v>633</v>
      </c>
      <c r="F112" s="151"/>
      <c r="G112" s="52">
        <v>35479</v>
      </c>
      <c r="H112" s="89">
        <v>39128</v>
      </c>
      <c r="I112" s="3"/>
      <c r="J112" s="34" t="s">
        <v>146</v>
      </c>
      <c r="K112" s="40">
        <v>13103.678</v>
      </c>
      <c r="L112" s="21"/>
      <c r="M112" s="47" t="s">
        <v>65</v>
      </c>
      <c r="N112" s="27"/>
      <c r="O112" s="40">
        <f t="shared" si="4"/>
        <v>13103.678</v>
      </c>
      <c r="P112" s="21"/>
    </row>
    <row r="113" spans="3:16" ht="15.75" customHeight="1">
      <c r="C113" s="87" t="s">
        <v>736</v>
      </c>
      <c r="D113" s="48" t="s">
        <v>656</v>
      </c>
      <c r="E113" s="139" t="s">
        <v>1122</v>
      </c>
      <c r="F113" s="151"/>
      <c r="G113" s="52">
        <v>38034</v>
      </c>
      <c r="H113" s="46">
        <v>39128</v>
      </c>
      <c r="I113" s="3"/>
      <c r="J113" s="34" t="s">
        <v>146</v>
      </c>
      <c r="K113" s="40">
        <v>25469.287</v>
      </c>
      <c r="L113" s="21"/>
      <c r="M113" s="47" t="s">
        <v>65</v>
      </c>
      <c r="N113" s="27"/>
      <c r="O113" s="40">
        <f>K113+M113</f>
        <v>25469.287</v>
      </c>
      <c r="P113" s="21"/>
    </row>
    <row r="114" spans="3:16" ht="15.75" customHeight="1">
      <c r="C114" s="43" t="s">
        <v>301</v>
      </c>
      <c r="D114" s="48" t="s">
        <v>651</v>
      </c>
      <c r="E114" s="48" t="s">
        <v>668</v>
      </c>
      <c r="F114" s="151"/>
      <c r="G114" s="52">
        <v>35565</v>
      </c>
      <c r="H114" s="89">
        <v>39217</v>
      </c>
      <c r="I114" s="3"/>
      <c r="J114" s="34" t="s">
        <v>147</v>
      </c>
      <c r="K114" s="40">
        <v>13958.186</v>
      </c>
      <c r="L114" s="21"/>
      <c r="M114" s="47" t="s">
        <v>65</v>
      </c>
      <c r="N114" s="27"/>
      <c r="O114" s="40">
        <f t="shared" si="4"/>
        <v>13958.186</v>
      </c>
      <c r="P114" s="21"/>
    </row>
    <row r="115" spans="3:16" ht="15.75" customHeight="1">
      <c r="C115" s="43" t="s">
        <v>360</v>
      </c>
      <c r="D115" s="48" t="s">
        <v>75</v>
      </c>
      <c r="E115" s="88" t="s">
        <v>362</v>
      </c>
      <c r="F115" s="151"/>
      <c r="G115" s="52">
        <v>37391</v>
      </c>
      <c r="H115" s="89">
        <v>39217</v>
      </c>
      <c r="I115" s="3"/>
      <c r="J115" s="34" t="s">
        <v>147</v>
      </c>
      <c r="K115" s="40">
        <v>24351.431</v>
      </c>
      <c r="L115" s="21"/>
      <c r="M115" s="47" t="s">
        <v>65</v>
      </c>
      <c r="N115" s="27"/>
      <c r="O115" s="40">
        <f t="shared" si="4"/>
        <v>24351.431</v>
      </c>
      <c r="P115" s="21"/>
    </row>
    <row r="116" spans="3:16" ht="15.75" customHeight="1">
      <c r="C116" s="43" t="s">
        <v>500</v>
      </c>
      <c r="D116" s="48" t="s">
        <v>78</v>
      </c>
      <c r="E116" s="139" t="s">
        <v>179</v>
      </c>
      <c r="F116" s="151"/>
      <c r="G116" s="52">
        <v>38124</v>
      </c>
      <c r="H116" s="89">
        <v>39217</v>
      </c>
      <c r="I116" s="3"/>
      <c r="J116" s="34" t="s">
        <v>147</v>
      </c>
      <c r="K116" s="40">
        <v>27564.268</v>
      </c>
      <c r="L116" s="21"/>
      <c r="M116" s="47" t="s">
        <v>65</v>
      </c>
      <c r="N116" s="27"/>
      <c r="O116" s="40">
        <f>K116+M116</f>
        <v>27564.268</v>
      </c>
      <c r="P116" s="21"/>
    </row>
    <row r="117" spans="3:16" ht="15.75" customHeight="1">
      <c r="C117" s="87" t="s">
        <v>361</v>
      </c>
      <c r="D117" s="48" t="s">
        <v>660</v>
      </c>
      <c r="E117" s="48" t="s">
        <v>665</v>
      </c>
      <c r="F117" s="151"/>
      <c r="G117" s="52">
        <v>35657</v>
      </c>
      <c r="H117" s="89">
        <v>39309</v>
      </c>
      <c r="I117" s="3"/>
      <c r="J117" s="34" t="s">
        <v>564</v>
      </c>
      <c r="K117" s="40">
        <v>25636.803</v>
      </c>
      <c r="L117" s="21"/>
      <c r="M117" s="47" t="s">
        <v>65</v>
      </c>
      <c r="N117" s="27"/>
      <c r="O117" s="40">
        <f t="shared" si="4"/>
        <v>25636.803</v>
      </c>
      <c r="P117" s="21"/>
    </row>
    <row r="118" spans="3:16" ht="15.75" customHeight="1">
      <c r="C118" s="43" t="s">
        <v>114</v>
      </c>
      <c r="D118" s="48" t="s">
        <v>634</v>
      </c>
      <c r="E118" s="139" t="s">
        <v>357</v>
      </c>
      <c r="F118" s="151"/>
      <c r="G118" s="52">
        <v>37483</v>
      </c>
      <c r="H118" s="89">
        <v>39309</v>
      </c>
      <c r="I118" s="3"/>
      <c r="J118" s="34" t="s">
        <v>564</v>
      </c>
      <c r="K118" s="40">
        <v>25410.844</v>
      </c>
      <c r="L118" s="21"/>
      <c r="M118" s="47" t="s">
        <v>65</v>
      </c>
      <c r="N118" s="27"/>
      <c r="O118" s="40">
        <f t="shared" si="4"/>
        <v>25410.844</v>
      </c>
      <c r="P118" s="21"/>
    </row>
    <row r="119" spans="3:16" ht="15.75" customHeight="1">
      <c r="C119" s="87" t="s">
        <v>90</v>
      </c>
      <c r="D119" s="48" t="s">
        <v>648</v>
      </c>
      <c r="E119" s="139" t="s">
        <v>165</v>
      </c>
      <c r="F119" s="151"/>
      <c r="G119" s="52">
        <v>37575</v>
      </c>
      <c r="H119" s="89">
        <v>39401</v>
      </c>
      <c r="I119" s="3"/>
      <c r="J119" s="34" t="s">
        <v>642</v>
      </c>
      <c r="K119" s="40">
        <v>23311.319</v>
      </c>
      <c r="L119" s="21"/>
      <c r="M119" s="47" t="s">
        <v>65</v>
      </c>
      <c r="N119" s="27"/>
      <c r="O119" s="40">
        <f t="shared" si="4"/>
        <v>23311.319</v>
      </c>
      <c r="P119" s="21"/>
    </row>
    <row r="120" spans="3:16" ht="15.75" customHeight="1">
      <c r="C120" s="87" t="s">
        <v>447</v>
      </c>
      <c r="D120" s="48" t="s">
        <v>640</v>
      </c>
      <c r="E120" s="88" t="s">
        <v>566</v>
      </c>
      <c r="F120" s="151"/>
      <c r="G120" s="52">
        <v>35843</v>
      </c>
      <c r="H120" s="89">
        <v>39493</v>
      </c>
      <c r="I120" s="3"/>
      <c r="J120" s="34" t="s">
        <v>146</v>
      </c>
      <c r="K120" s="40">
        <v>13583.412</v>
      </c>
      <c r="L120" s="21"/>
      <c r="M120" s="47" t="s">
        <v>65</v>
      </c>
      <c r="N120" s="27"/>
      <c r="O120" s="40">
        <f t="shared" si="4"/>
        <v>13583.412</v>
      </c>
      <c r="P120" s="21"/>
    </row>
    <row r="121" spans="3:16" ht="15.75" customHeight="1">
      <c r="C121" s="43" t="s">
        <v>94</v>
      </c>
      <c r="D121" s="48" t="s">
        <v>75</v>
      </c>
      <c r="E121" s="88">
        <v>3</v>
      </c>
      <c r="F121" s="151"/>
      <c r="G121" s="52">
        <v>37670</v>
      </c>
      <c r="H121" s="89">
        <v>39493</v>
      </c>
      <c r="I121" s="3"/>
      <c r="J121" s="34" t="s">
        <v>146</v>
      </c>
      <c r="K121" s="40">
        <v>27489.26</v>
      </c>
      <c r="L121" s="21"/>
      <c r="M121" s="47" t="s">
        <v>65</v>
      </c>
      <c r="N121" s="27"/>
      <c r="O121" s="40">
        <f t="shared" si="4"/>
        <v>27489.26</v>
      </c>
      <c r="P121" s="21"/>
    </row>
    <row r="122" spans="3:16" ht="15.75" customHeight="1">
      <c r="C122" s="43" t="s">
        <v>450</v>
      </c>
      <c r="D122" s="48" t="s">
        <v>651</v>
      </c>
      <c r="E122" s="88" t="s">
        <v>659</v>
      </c>
      <c r="F122" s="151"/>
      <c r="G122" s="52">
        <v>35930</v>
      </c>
      <c r="H122" s="89">
        <v>39583</v>
      </c>
      <c r="I122" s="3"/>
      <c r="J122" s="34" t="s">
        <v>147</v>
      </c>
      <c r="K122" s="40">
        <v>27190.961</v>
      </c>
      <c r="L122" s="21"/>
      <c r="M122" s="47" t="s">
        <v>65</v>
      </c>
      <c r="N122" s="27"/>
      <c r="O122" s="40">
        <f t="shared" si="4"/>
        <v>27190.961</v>
      </c>
      <c r="P122" s="21"/>
    </row>
    <row r="123" spans="3:16" ht="15.75" customHeight="1">
      <c r="C123" s="43" t="s">
        <v>368</v>
      </c>
      <c r="D123" s="48" t="s">
        <v>634</v>
      </c>
      <c r="E123" s="139" t="s">
        <v>369</v>
      </c>
      <c r="F123" s="151"/>
      <c r="G123" s="52">
        <v>37756</v>
      </c>
      <c r="H123" s="89">
        <v>39583</v>
      </c>
      <c r="I123" s="3"/>
      <c r="J123" s="34" t="s">
        <v>147</v>
      </c>
      <c r="K123" s="40">
        <v>33338.446</v>
      </c>
      <c r="L123" s="21"/>
      <c r="M123" s="47" t="s">
        <v>65</v>
      </c>
      <c r="N123" s="27"/>
      <c r="O123" s="40">
        <f t="shared" si="4"/>
        <v>33338.446</v>
      </c>
      <c r="P123" s="21"/>
    </row>
    <row r="124" spans="3:16" ht="15.75" customHeight="1">
      <c r="C124" s="43" t="s">
        <v>250</v>
      </c>
      <c r="D124" s="48" t="s">
        <v>648</v>
      </c>
      <c r="E124" s="139" t="s">
        <v>357</v>
      </c>
      <c r="F124" s="151"/>
      <c r="G124" s="52">
        <v>37848</v>
      </c>
      <c r="H124" s="89">
        <v>39675</v>
      </c>
      <c r="I124" s="3"/>
      <c r="J124" s="34" t="s">
        <v>564</v>
      </c>
      <c r="K124" s="40">
        <v>21357.474</v>
      </c>
      <c r="L124" s="21"/>
      <c r="M124" s="47" t="s">
        <v>65</v>
      </c>
      <c r="N124" s="27"/>
      <c r="O124" s="40">
        <f>K124</f>
        <v>21357.474</v>
      </c>
      <c r="P124" s="21"/>
    </row>
    <row r="125" spans="3:16" ht="15.75" customHeight="1">
      <c r="C125" s="43" t="s">
        <v>178</v>
      </c>
      <c r="D125" s="48" t="s">
        <v>656</v>
      </c>
      <c r="E125" s="139" t="s">
        <v>179</v>
      </c>
      <c r="F125" s="151"/>
      <c r="G125" s="52">
        <v>37879</v>
      </c>
      <c r="H125" s="89">
        <v>39706</v>
      </c>
      <c r="I125" s="3"/>
      <c r="J125" s="34" t="s">
        <v>180</v>
      </c>
      <c r="K125" s="40">
        <v>16002.177</v>
      </c>
      <c r="L125" s="21"/>
      <c r="M125" s="47" t="s">
        <v>65</v>
      </c>
      <c r="N125" s="27"/>
      <c r="O125" s="40">
        <f>K125</f>
        <v>16002.177</v>
      </c>
      <c r="P125" s="21"/>
    </row>
    <row r="126" spans="3:16" ht="15.75" customHeight="1">
      <c r="C126" s="43" t="s">
        <v>780</v>
      </c>
      <c r="D126" s="48" t="s">
        <v>78</v>
      </c>
      <c r="E126" s="139" t="s">
        <v>179</v>
      </c>
      <c r="F126" s="151"/>
      <c r="G126" s="52">
        <v>37909</v>
      </c>
      <c r="H126" s="46">
        <v>39736</v>
      </c>
      <c r="I126" s="3"/>
      <c r="J126" s="34" t="s">
        <v>636</v>
      </c>
      <c r="K126" s="40">
        <v>15995.702</v>
      </c>
      <c r="L126" s="21"/>
      <c r="M126" s="47" t="s">
        <v>65</v>
      </c>
      <c r="N126" s="27"/>
      <c r="O126" s="40">
        <f>K126</f>
        <v>15995.702</v>
      </c>
      <c r="P126" s="21"/>
    </row>
    <row r="127" spans="3:16" ht="15.75" customHeight="1">
      <c r="C127" s="87" t="s">
        <v>370</v>
      </c>
      <c r="D127" s="48" t="s">
        <v>660</v>
      </c>
      <c r="E127" s="88" t="s">
        <v>671</v>
      </c>
      <c r="F127" s="151"/>
      <c r="G127" s="52">
        <v>36115</v>
      </c>
      <c r="H127" s="89">
        <v>39767</v>
      </c>
      <c r="I127" s="3"/>
      <c r="J127" s="34" t="s">
        <v>642</v>
      </c>
      <c r="K127" s="40">
        <v>25083.125</v>
      </c>
      <c r="L127" s="21"/>
      <c r="M127" s="47" t="s">
        <v>65</v>
      </c>
      <c r="N127" s="27"/>
      <c r="O127" s="40">
        <f aca="true" t="shared" si="5" ref="O127:O132">K127+M127</f>
        <v>25083.125</v>
      </c>
      <c r="P127" s="21"/>
    </row>
    <row r="128" spans="3:16" ht="15.75" customHeight="1">
      <c r="C128" s="43" t="s">
        <v>983</v>
      </c>
      <c r="D128" s="48" t="s">
        <v>565</v>
      </c>
      <c r="E128" s="139" t="s">
        <v>951</v>
      </c>
      <c r="F128" s="151"/>
      <c r="G128" s="52">
        <v>37942</v>
      </c>
      <c r="H128" s="89">
        <v>39767</v>
      </c>
      <c r="I128" s="3"/>
      <c r="J128" s="34" t="s">
        <v>642</v>
      </c>
      <c r="K128" s="40">
        <v>18181.033</v>
      </c>
      <c r="L128" s="21"/>
      <c r="M128" s="47" t="s">
        <v>65</v>
      </c>
      <c r="N128" s="27"/>
      <c r="O128" s="40">
        <f t="shared" si="5"/>
        <v>18181.033</v>
      </c>
      <c r="P128" s="21"/>
    </row>
    <row r="129" spans="3:16" ht="15.75" customHeight="1">
      <c r="C129" s="43" t="s">
        <v>270</v>
      </c>
      <c r="D129" s="48" t="s">
        <v>568</v>
      </c>
      <c r="E129" s="139" t="s">
        <v>951</v>
      </c>
      <c r="F129" s="151"/>
      <c r="G129" s="52">
        <v>37970</v>
      </c>
      <c r="H129" s="89">
        <v>39797</v>
      </c>
      <c r="I129" s="3"/>
      <c r="J129" s="34" t="s">
        <v>271</v>
      </c>
      <c r="K129" s="40">
        <v>16000.028</v>
      </c>
      <c r="L129" s="21"/>
      <c r="M129" s="47" t="s">
        <v>65</v>
      </c>
      <c r="N129" s="27"/>
      <c r="O129" s="40">
        <f t="shared" si="5"/>
        <v>16000.028</v>
      </c>
      <c r="P129" s="21"/>
    </row>
    <row r="130" spans="3:16" ht="15.75" customHeight="1">
      <c r="C130" s="43" t="s">
        <v>553</v>
      </c>
      <c r="D130" s="48" t="s">
        <v>660</v>
      </c>
      <c r="E130" s="139" t="s">
        <v>357</v>
      </c>
      <c r="F130" s="151"/>
      <c r="G130" s="52">
        <v>38001</v>
      </c>
      <c r="H130" s="89">
        <v>39828</v>
      </c>
      <c r="I130" s="3"/>
      <c r="J130" s="34" t="s">
        <v>365</v>
      </c>
      <c r="K130" s="40">
        <v>16002.546</v>
      </c>
      <c r="L130" s="21"/>
      <c r="M130" s="47" t="s">
        <v>65</v>
      </c>
      <c r="N130" s="27"/>
      <c r="O130" s="40">
        <f t="shared" si="5"/>
        <v>16002.546</v>
      </c>
      <c r="P130" s="21"/>
    </row>
    <row r="131" spans="3:16" ht="15.75" customHeight="1">
      <c r="C131" s="43" t="s">
        <v>738</v>
      </c>
      <c r="D131" s="48" t="s">
        <v>75</v>
      </c>
      <c r="E131" s="139" t="s">
        <v>165</v>
      </c>
      <c r="F131" s="151"/>
      <c r="G131" s="52">
        <v>38034</v>
      </c>
      <c r="H131" s="89">
        <v>39859</v>
      </c>
      <c r="I131" s="3"/>
      <c r="J131" s="34" t="s">
        <v>146</v>
      </c>
      <c r="K131" s="40">
        <v>17433.763</v>
      </c>
      <c r="L131" s="21"/>
      <c r="M131" s="47" t="s">
        <v>65</v>
      </c>
      <c r="N131" s="27"/>
      <c r="O131" s="40">
        <f t="shared" si="5"/>
        <v>17433.763</v>
      </c>
      <c r="P131" s="21"/>
    </row>
    <row r="132" spans="3:16" ht="15.75" customHeight="1">
      <c r="C132" s="43" t="s">
        <v>838</v>
      </c>
      <c r="D132" s="48" t="s">
        <v>634</v>
      </c>
      <c r="E132" s="139" t="s">
        <v>369</v>
      </c>
      <c r="F132" s="151"/>
      <c r="G132" s="52">
        <v>38061</v>
      </c>
      <c r="H132" s="89">
        <v>39887</v>
      </c>
      <c r="I132" s="3"/>
      <c r="J132" s="34" t="s">
        <v>839</v>
      </c>
      <c r="K132" s="40">
        <v>16001.063</v>
      </c>
      <c r="L132" s="21"/>
      <c r="M132" s="47" t="s">
        <v>65</v>
      </c>
      <c r="N132" s="27"/>
      <c r="O132" s="40">
        <f t="shared" si="5"/>
        <v>16001.063</v>
      </c>
      <c r="P132" s="21"/>
    </row>
    <row r="133" spans="3:16" ht="15.75" customHeight="1">
      <c r="C133" s="43" t="s">
        <v>716</v>
      </c>
      <c r="D133" s="48" t="s">
        <v>648</v>
      </c>
      <c r="E133" s="139" t="s">
        <v>179</v>
      </c>
      <c r="F133" s="151"/>
      <c r="G133" s="52">
        <v>38092</v>
      </c>
      <c r="H133" s="89">
        <v>39918</v>
      </c>
      <c r="I133" s="3"/>
      <c r="J133" s="34" t="s">
        <v>149</v>
      </c>
      <c r="K133" s="40">
        <v>16002.805</v>
      </c>
      <c r="L133" s="21"/>
      <c r="M133" s="47" t="s">
        <v>65</v>
      </c>
      <c r="N133" s="27"/>
      <c r="O133" s="40">
        <f aca="true" t="shared" si="6" ref="O133:O141">K133+M133</f>
        <v>16002.805</v>
      </c>
      <c r="P133" s="21"/>
    </row>
    <row r="134" spans="3:16" ht="15.75" customHeight="1">
      <c r="C134" s="87" t="s">
        <v>985</v>
      </c>
      <c r="D134" s="48" t="s">
        <v>640</v>
      </c>
      <c r="E134" s="88" t="s">
        <v>566</v>
      </c>
      <c r="F134" s="151"/>
      <c r="G134" s="52">
        <v>36297</v>
      </c>
      <c r="H134" s="89">
        <v>39948</v>
      </c>
      <c r="I134" s="3"/>
      <c r="J134" s="34" t="s">
        <v>147</v>
      </c>
      <c r="K134" s="40">
        <v>14794.79</v>
      </c>
      <c r="L134" s="21"/>
      <c r="M134" s="47" t="s">
        <v>65</v>
      </c>
      <c r="N134" s="27"/>
      <c r="O134" s="40">
        <f t="shared" si="6"/>
        <v>14794.79</v>
      </c>
      <c r="P134" s="21"/>
    </row>
    <row r="135" spans="3:16" ht="15.75" customHeight="1">
      <c r="C135" s="87" t="s">
        <v>501</v>
      </c>
      <c r="D135" s="48" t="s">
        <v>656</v>
      </c>
      <c r="E135" s="88" t="s">
        <v>1004</v>
      </c>
      <c r="F135" s="151"/>
      <c r="G135" s="52">
        <v>38124</v>
      </c>
      <c r="H135" s="89">
        <v>39948</v>
      </c>
      <c r="I135" s="3"/>
      <c r="J135" s="34" t="s">
        <v>147</v>
      </c>
      <c r="K135" s="40">
        <v>18059.937</v>
      </c>
      <c r="L135" s="21"/>
      <c r="M135" s="47" t="s">
        <v>65</v>
      </c>
      <c r="N135" s="27"/>
      <c r="O135" s="40">
        <f t="shared" si="6"/>
        <v>18059.937</v>
      </c>
      <c r="P135" s="21"/>
    </row>
    <row r="136" spans="3:16" ht="15.75" customHeight="1">
      <c r="C136" s="43" t="s">
        <v>900</v>
      </c>
      <c r="D136" s="48" t="s">
        <v>78</v>
      </c>
      <c r="E136" s="88">
        <v>4</v>
      </c>
      <c r="F136" s="151"/>
      <c r="G136" s="52">
        <v>38153</v>
      </c>
      <c r="H136" s="46">
        <v>39979</v>
      </c>
      <c r="I136" s="3"/>
      <c r="J136" s="34" t="s">
        <v>901</v>
      </c>
      <c r="K136" s="40">
        <v>15004.754</v>
      </c>
      <c r="L136" s="21"/>
      <c r="M136" s="47" t="s">
        <v>65</v>
      </c>
      <c r="N136" s="27"/>
      <c r="O136" s="40">
        <f t="shared" si="6"/>
        <v>15004.754</v>
      </c>
      <c r="P136" s="21"/>
    </row>
    <row r="137" spans="3:16" ht="15.75" customHeight="1">
      <c r="C137" s="43" t="s">
        <v>1152</v>
      </c>
      <c r="D137" s="48" t="s">
        <v>565</v>
      </c>
      <c r="E137" s="139" t="s">
        <v>950</v>
      </c>
      <c r="F137" s="151"/>
      <c r="G137" s="52">
        <v>38183</v>
      </c>
      <c r="H137" s="46">
        <v>40009</v>
      </c>
      <c r="I137" s="3"/>
      <c r="J137" s="34" t="s">
        <v>77</v>
      </c>
      <c r="K137" s="40">
        <v>15004.962</v>
      </c>
      <c r="L137" s="21"/>
      <c r="M137" s="47" t="s">
        <v>65</v>
      </c>
      <c r="N137" s="27"/>
      <c r="O137" s="40">
        <f>K137+M137</f>
        <v>15004.962</v>
      </c>
      <c r="P137" s="21"/>
    </row>
    <row r="138" spans="3:16" ht="15.75" customHeight="1">
      <c r="C138" s="43" t="s">
        <v>502</v>
      </c>
      <c r="D138" s="48" t="s">
        <v>651</v>
      </c>
      <c r="E138" s="88">
        <v>6</v>
      </c>
      <c r="F138" s="151"/>
      <c r="G138" s="52">
        <v>36388</v>
      </c>
      <c r="H138" s="89">
        <v>40040</v>
      </c>
      <c r="I138" s="3"/>
      <c r="J138" s="34" t="s">
        <v>564</v>
      </c>
      <c r="K138" s="40">
        <v>27399.894</v>
      </c>
      <c r="L138" s="21"/>
      <c r="M138" s="47" t="s">
        <v>65</v>
      </c>
      <c r="N138" s="27"/>
      <c r="O138" s="40">
        <f t="shared" si="6"/>
        <v>27399.894</v>
      </c>
      <c r="P138" s="21"/>
    </row>
    <row r="139" spans="3:16" ht="15.75" customHeight="1">
      <c r="C139" s="43" t="s">
        <v>5</v>
      </c>
      <c r="D139" s="48" t="s">
        <v>640</v>
      </c>
      <c r="E139" s="48" t="s">
        <v>638</v>
      </c>
      <c r="F139" s="151"/>
      <c r="G139" s="52">
        <v>36571</v>
      </c>
      <c r="H139" s="89">
        <v>40224</v>
      </c>
      <c r="I139" s="3"/>
      <c r="J139" s="34" t="s">
        <v>146</v>
      </c>
      <c r="K139" s="40">
        <v>23355.709</v>
      </c>
      <c r="L139" s="21"/>
      <c r="M139" s="47" t="s">
        <v>65</v>
      </c>
      <c r="N139" s="27"/>
      <c r="O139" s="40">
        <f t="shared" si="6"/>
        <v>23355.709</v>
      </c>
      <c r="P139" s="21"/>
    </row>
    <row r="140" spans="3:16" ht="15.75" customHeight="1">
      <c r="C140" s="43" t="s">
        <v>6</v>
      </c>
      <c r="D140" s="48" t="s">
        <v>651</v>
      </c>
      <c r="E140" s="88" t="s">
        <v>74</v>
      </c>
      <c r="F140" s="151"/>
      <c r="G140" s="52">
        <v>36753</v>
      </c>
      <c r="H140" s="89">
        <v>40405</v>
      </c>
      <c r="I140" s="3"/>
      <c r="J140" s="34" t="s">
        <v>564</v>
      </c>
      <c r="K140" s="40">
        <v>22437.594</v>
      </c>
      <c r="L140" s="21"/>
      <c r="M140" s="47" t="s">
        <v>65</v>
      </c>
      <c r="N140" s="27"/>
      <c r="O140" s="40">
        <f t="shared" si="6"/>
        <v>22437.594</v>
      </c>
      <c r="P140" s="21"/>
    </row>
    <row r="141" spans="3:16" ht="15.75" customHeight="1">
      <c r="C141" s="43" t="s">
        <v>163</v>
      </c>
      <c r="D141" s="48" t="s">
        <v>640</v>
      </c>
      <c r="E141" s="88">
        <v>5</v>
      </c>
      <c r="F141" s="151"/>
      <c r="G141" s="52">
        <v>36937</v>
      </c>
      <c r="H141" s="89">
        <v>40589</v>
      </c>
      <c r="I141" s="3"/>
      <c r="J141" s="34" t="s">
        <v>146</v>
      </c>
      <c r="K141" s="40">
        <v>23436.329</v>
      </c>
      <c r="L141" s="21"/>
      <c r="M141" s="47" t="s">
        <v>65</v>
      </c>
      <c r="N141" s="27"/>
      <c r="O141" s="40">
        <f t="shared" si="6"/>
        <v>23436.329</v>
      </c>
      <c r="P141" s="21"/>
    </row>
    <row r="142" spans="3:16" ht="15.75" customHeight="1">
      <c r="C142" s="43" t="s">
        <v>238</v>
      </c>
      <c r="D142" s="48" t="s">
        <v>651</v>
      </c>
      <c r="E142" s="88">
        <v>5</v>
      </c>
      <c r="F142" s="151"/>
      <c r="G142" s="52">
        <v>37118</v>
      </c>
      <c r="H142" s="89">
        <v>40770</v>
      </c>
      <c r="I142" s="3"/>
      <c r="J142" s="34" t="s">
        <v>564</v>
      </c>
      <c r="K142" s="40">
        <v>26635.316</v>
      </c>
      <c r="L142" s="21"/>
      <c r="M142" s="47" t="s">
        <v>65</v>
      </c>
      <c r="N142" s="27"/>
      <c r="O142" s="40">
        <f aca="true" t="shared" si="7" ref="O142:O147">K142+M142</f>
        <v>26635.316</v>
      </c>
      <c r="P142" s="21"/>
    </row>
    <row r="143" spans="3:16" ht="15.75" customHeight="1">
      <c r="C143" s="43" t="s">
        <v>484</v>
      </c>
      <c r="D143" s="48" t="s">
        <v>640</v>
      </c>
      <c r="E143" s="88" t="s">
        <v>485</v>
      </c>
      <c r="F143" s="151"/>
      <c r="G143" s="52">
        <v>37302</v>
      </c>
      <c r="H143" s="89">
        <v>40954</v>
      </c>
      <c r="I143" s="3"/>
      <c r="J143" s="34" t="s">
        <v>146</v>
      </c>
      <c r="K143" s="40">
        <v>24779.838</v>
      </c>
      <c r="L143" s="21"/>
      <c r="M143" s="47" t="s">
        <v>65</v>
      </c>
      <c r="N143" s="27"/>
      <c r="O143" s="40">
        <f t="shared" si="7"/>
        <v>24779.838</v>
      </c>
      <c r="P143" s="21"/>
    </row>
    <row r="144" spans="3:16" ht="15.75" customHeight="1">
      <c r="C144" s="43" t="s">
        <v>448</v>
      </c>
      <c r="D144" s="48" t="s">
        <v>660</v>
      </c>
      <c r="E144" s="88" t="s">
        <v>362</v>
      </c>
      <c r="F144" s="151"/>
      <c r="G144" s="52">
        <v>37483</v>
      </c>
      <c r="H144" s="89">
        <v>41136</v>
      </c>
      <c r="I144" s="3"/>
      <c r="J144" s="34" t="s">
        <v>564</v>
      </c>
      <c r="K144" s="40">
        <v>19647.976</v>
      </c>
      <c r="L144" s="21"/>
      <c r="M144" s="47" t="s">
        <v>65</v>
      </c>
      <c r="N144" s="27"/>
      <c r="O144" s="40">
        <f t="shared" si="7"/>
        <v>19647.976</v>
      </c>
      <c r="P144" s="21"/>
    </row>
    <row r="145" spans="3:16" ht="15.75" customHeight="1">
      <c r="C145" s="43" t="s">
        <v>89</v>
      </c>
      <c r="D145" s="48" t="s">
        <v>75</v>
      </c>
      <c r="E145" s="88" t="s">
        <v>1130</v>
      </c>
      <c r="F145" s="151"/>
      <c r="G145" s="52">
        <v>37575</v>
      </c>
      <c r="H145" s="89">
        <v>41228</v>
      </c>
      <c r="I145" s="3"/>
      <c r="J145" s="34" t="s">
        <v>642</v>
      </c>
      <c r="K145" s="40">
        <v>18112.742</v>
      </c>
      <c r="L145" s="21"/>
      <c r="M145" s="47" t="s">
        <v>65</v>
      </c>
      <c r="N145" s="27"/>
      <c r="O145" s="40">
        <f t="shared" si="7"/>
        <v>18112.742</v>
      </c>
      <c r="P145" s="21"/>
    </row>
    <row r="146" spans="3:16" ht="15.75" customHeight="1">
      <c r="C146" s="43" t="s">
        <v>96</v>
      </c>
      <c r="D146" s="48" t="s">
        <v>81</v>
      </c>
      <c r="E146" s="139" t="s">
        <v>1004</v>
      </c>
      <c r="F146" s="151"/>
      <c r="G146" s="52">
        <v>37670</v>
      </c>
      <c r="H146" s="89">
        <v>41320</v>
      </c>
      <c r="I146" s="3"/>
      <c r="J146" s="34" t="s">
        <v>146</v>
      </c>
      <c r="K146" s="40">
        <v>19498.396</v>
      </c>
      <c r="L146" s="21"/>
      <c r="M146" s="47" t="s">
        <v>65</v>
      </c>
      <c r="N146" s="27"/>
      <c r="O146" s="40">
        <f t="shared" si="7"/>
        <v>19498.396</v>
      </c>
      <c r="P146" s="21"/>
    </row>
    <row r="147" spans="3:16" ht="15.75" customHeight="1">
      <c r="C147" s="43" t="s">
        <v>371</v>
      </c>
      <c r="D147" s="48" t="s">
        <v>640</v>
      </c>
      <c r="E147" s="139" t="s">
        <v>950</v>
      </c>
      <c r="F147" s="151"/>
      <c r="G147" s="52">
        <v>37756</v>
      </c>
      <c r="H147" s="89">
        <v>41409</v>
      </c>
      <c r="I147" s="3"/>
      <c r="J147" s="34" t="s">
        <v>147</v>
      </c>
      <c r="K147" s="40">
        <v>18253.553</v>
      </c>
      <c r="L147" s="21"/>
      <c r="M147" s="47" t="s">
        <v>65</v>
      </c>
      <c r="N147" s="27"/>
      <c r="O147" s="40">
        <f t="shared" si="7"/>
        <v>18253.553</v>
      </c>
      <c r="P147" s="21"/>
    </row>
    <row r="148" spans="3:16" ht="15.75" customHeight="1">
      <c r="C148" s="43" t="s">
        <v>247</v>
      </c>
      <c r="D148" s="48" t="s">
        <v>660</v>
      </c>
      <c r="E148" s="139" t="s">
        <v>669</v>
      </c>
      <c r="F148" s="151"/>
      <c r="G148" s="52">
        <v>37848</v>
      </c>
      <c r="H148" s="89">
        <v>41501</v>
      </c>
      <c r="I148" s="3"/>
      <c r="J148" s="34" t="s">
        <v>564</v>
      </c>
      <c r="K148" s="40">
        <v>33521.123</v>
      </c>
      <c r="L148" s="21"/>
      <c r="M148" s="47" t="s">
        <v>65</v>
      </c>
      <c r="N148" s="27"/>
      <c r="O148" s="40">
        <f>K148</f>
        <v>33521.123</v>
      </c>
      <c r="P148" s="21"/>
    </row>
    <row r="149" spans="3:16" ht="15.75" customHeight="1">
      <c r="C149" s="43" t="s">
        <v>979</v>
      </c>
      <c r="D149" s="48" t="s">
        <v>75</v>
      </c>
      <c r="E149" s="139" t="s">
        <v>669</v>
      </c>
      <c r="F149" s="151"/>
      <c r="G149" s="52">
        <v>37942</v>
      </c>
      <c r="H149" s="89">
        <v>41593</v>
      </c>
      <c r="I149" s="3"/>
      <c r="J149" s="34" t="s">
        <v>642</v>
      </c>
      <c r="K149" s="40">
        <v>30636.844</v>
      </c>
      <c r="L149" s="21"/>
      <c r="M149" s="47" t="s">
        <v>65</v>
      </c>
      <c r="N149" s="27"/>
      <c r="O149" s="40">
        <f>K149</f>
        <v>30636.844</v>
      </c>
      <c r="P149" s="21"/>
    </row>
    <row r="150" spans="3:16" ht="15.75" customHeight="1">
      <c r="C150" s="43" t="s">
        <v>740</v>
      </c>
      <c r="D150" s="48" t="s">
        <v>640</v>
      </c>
      <c r="E150" s="88" t="s">
        <v>1130</v>
      </c>
      <c r="F150" s="151"/>
      <c r="G150" s="52">
        <v>38034</v>
      </c>
      <c r="H150" s="89">
        <v>41685</v>
      </c>
      <c r="I150" s="3"/>
      <c r="J150" s="34" t="s">
        <v>146</v>
      </c>
      <c r="K150" s="40">
        <v>28081.066</v>
      </c>
      <c r="L150" s="21"/>
      <c r="M150" s="47" t="s">
        <v>65</v>
      </c>
      <c r="N150" s="27"/>
      <c r="O150" s="40">
        <f>K150</f>
        <v>28081.066</v>
      </c>
      <c r="P150" s="21"/>
    </row>
    <row r="151" spans="3:16" ht="15.75" customHeight="1">
      <c r="C151" s="43" t="s">
        <v>503</v>
      </c>
      <c r="D151" s="48" t="s">
        <v>651</v>
      </c>
      <c r="E151" s="88" t="s">
        <v>671</v>
      </c>
      <c r="F151" s="151"/>
      <c r="G151" s="52">
        <v>38124</v>
      </c>
      <c r="H151" s="89">
        <v>41774</v>
      </c>
      <c r="I151" s="3"/>
      <c r="J151" s="34" t="s">
        <v>147</v>
      </c>
      <c r="K151" s="40">
        <v>27302.981</v>
      </c>
      <c r="L151" s="21"/>
      <c r="M151" s="47" t="s">
        <v>65</v>
      </c>
      <c r="N151" s="27"/>
      <c r="O151" s="40">
        <f>K151</f>
        <v>27302.981</v>
      </c>
      <c r="P151" s="21"/>
    </row>
    <row r="152" spans="2:16" ht="15.75" customHeight="1">
      <c r="B152" s="9" t="s">
        <v>777</v>
      </c>
      <c r="F152" s="43"/>
      <c r="G152" s="16" t="s">
        <v>66</v>
      </c>
      <c r="H152" s="46" t="s">
        <v>67</v>
      </c>
      <c r="I152" s="3"/>
      <c r="J152" s="34" t="s">
        <v>68</v>
      </c>
      <c r="K152" s="56">
        <f>SUM(K60:K151)</f>
        <v>2033965.695</v>
      </c>
      <c r="L152" s="209"/>
      <c r="M152" s="210" t="s">
        <v>65</v>
      </c>
      <c r="N152" s="211"/>
      <c r="O152" s="217">
        <f>K152+M152</f>
        <v>2033965.695</v>
      </c>
      <c r="P152" s="209"/>
    </row>
    <row r="153" spans="2:16" ht="15.75" customHeight="1">
      <c r="B153" t="s">
        <v>694</v>
      </c>
      <c r="F153" s="64"/>
      <c r="G153" s="16" t="s">
        <v>66</v>
      </c>
      <c r="H153" s="46" t="s">
        <v>67</v>
      </c>
      <c r="I153" s="3"/>
      <c r="J153" s="34" t="s">
        <v>68</v>
      </c>
      <c r="K153" s="56">
        <v>33300.0246</v>
      </c>
      <c r="L153" s="254"/>
      <c r="M153" s="210" t="s">
        <v>65</v>
      </c>
      <c r="N153" s="211"/>
      <c r="O153" s="217">
        <f>K153+M153</f>
        <v>33300.0246</v>
      </c>
      <c r="P153" s="209"/>
    </row>
    <row r="154" spans="2:16" ht="15.75" customHeight="1" thickBot="1">
      <c r="B154" s="74" t="s">
        <v>778</v>
      </c>
      <c r="F154" s="43"/>
      <c r="G154" s="16" t="s">
        <v>66</v>
      </c>
      <c r="H154" s="46" t="s">
        <v>67</v>
      </c>
      <c r="I154" s="3"/>
      <c r="J154" s="34" t="s">
        <v>68</v>
      </c>
      <c r="K154" s="215">
        <f>SUM(K152:K153)</f>
        <v>2067265.7196</v>
      </c>
      <c r="L154" s="216"/>
      <c r="M154" s="218" t="s">
        <v>65</v>
      </c>
      <c r="N154" s="219"/>
      <c r="O154" s="215">
        <f>K154+M154</f>
        <v>2067265.7196</v>
      </c>
      <c r="P154" s="216"/>
    </row>
    <row r="155" spans="6:16" ht="15.75" customHeight="1" thickTop="1">
      <c r="F155" s="43"/>
      <c r="G155" s="96"/>
      <c r="H155" s="182"/>
      <c r="I155" s="3"/>
      <c r="J155" s="130"/>
      <c r="K155" s="107"/>
      <c r="L155" s="107"/>
      <c r="M155" s="108"/>
      <c r="N155" s="108"/>
      <c r="O155" s="107"/>
      <c r="P155" s="107"/>
    </row>
    <row r="170" spans="1:16" ht="15.75" customHeight="1" thickBot="1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</row>
    <row r="171" spans="1:16" ht="16.5" thickTop="1">
      <c r="A171" s="7">
        <v>4</v>
      </c>
      <c r="B171" s="2" t="str">
        <f>B86</f>
        <v>TABLE III - DETAIL OF TREASURY SECURITIES OUTSTANDING, JULY 31, 2004 -- Continued</v>
      </c>
      <c r="C171" s="2"/>
      <c r="D171" s="3"/>
      <c r="E171" s="3"/>
      <c r="F171" s="3"/>
      <c r="G171" s="3"/>
      <c r="H171" s="3"/>
      <c r="I171" s="29"/>
      <c r="J171" s="3"/>
      <c r="K171" s="3"/>
      <c r="L171" s="3"/>
      <c r="M171" s="3"/>
      <c r="N171" s="3"/>
      <c r="O171" s="3"/>
      <c r="P171" s="94"/>
    </row>
    <row r="172" spans="1:16" ht="11.25" customHeight="1" thickBot="1">
      <c r="A172" s="7"/>
      <c r="B172" s="2"/>
      <c r="C172" s="2"/>
      <c r="D172" s="3"/>
      <c r="E172" s="3"/>
      <c r="F172" s="3"/>
      <c r="G172" s="3"/>
      <c r="H172" s="3"/>
      <c r="I172" s="29"/>
      <c r="J172" s="3"/>
      <c r="K172" s="3"/>
      <c r="L172" s="3"/>
      <c r="M172" s="3"/>
      <c r="N172" s="3"/>
      <c r="O172" s="3"/>
      <c r="P172" s="2"/>
    </row>
    <row r="173" spans="1:16" ht="16.5" customHeight="1" thickTop="1">
      <c r="A173" s="32"/>
      <c r="B173" s="32"/>
      <c r="C173" s="32"/>
      <c r="D173" s="32"/>
      <c r="E173" s="32"/>
      <c r="F173" s="32"/>
      <c r="G173" s="26"/>
      <c r="H173" s="26"/>
      <c r="I173" s="33"/>
      <c r="J173" s="66"/>
      <c r="K173" s="26"/>
      <c r="L173" s="32"/>
      <c r="M173" s="32"/>
      <c r="N173" s="32"/>
      <c r="O173" s="32"/>
      <c r="P173" s="32"/>
    </row>
    <row r="174" spans="7:16" ht="15.75" customHeight="1">
      <c r="G174" s="16" t="s">
        <v>573</v>
      </c>
      <c r="H174" s="16" t="s">
        <v>574</v>
      </c>
      <c r="I174" s="29"/>
      <c r="J174" s="34" t="s">
        <v>575</v>
      </c>
      <c r="K174" s="16" t="s">
        <v>576</v>
      </c>
      <c r="L174" s="3"/>
      <c r="M174" s="3"/>
      <c r="N174" s="3"/>
      <c r="O174" s="3"/>
      <c r="P174" s="3"/>
    </row>
    <row r="175" spans="1:11" ht="15.75" customHeight="1">
      <c r="A175" s="3" t="s">
        <v>577</v>
      </c>
      <c r="B175" s="3"/>
      <c r="C175" s="3"/>
      <c r="D175" s="3"/>
      <c r="E175" s="3"/>
      <c r="F175" s="3"/>
      <c r="G175" s="16" t="s">
        <v>578</v>
      </c>
      <c r="H175" s="16" t="s">
        <v>579</v>
      </c>
      <c r="I175" s="29"/>
      <c r="J175" s="34" t="s">
        <v>580</v>
      </c>
      <c r="K175" s="14"/>
    </row>
    <row r="176" spans="1:16" ht="15.75" customHeight="1">
      <c r="A176" s="15"/>
      <c r="B176" s="15"/>
      <c r="C176" s="15"/>
      <c r="D176" s="15"/>
      <c r="E176" s="15"/>
      <c r="F176" s="15"/>
      <c r="G176" s="161"/>
      <c r="H176" s="35"/>
      <c r="I176" s="36"/>
      <c r="J176" s="161"/>
      <c r="K176" s="37" t="s">
        <v>581</v>
      </c>
      <c r="L176" s="38"/>
      <c r="M176" s="37" t="s">
        <v>60</v>
      </c>
      <c r="N176" s="38"/>
      <c r="O176" s="37" t="s">
        <v>862</v>
      </c>
      <c r="P176" s="38"/>
    </row>
    <row r="177" spans="7:15" ht="0.75" customHeight="1" hidden="1">
      <c r="G177" s="14"/>
      <c r="H177" s="14"/>
      <c r="I177" s="31"/>
      <c r="J177" s="34"/>
      <c r="K177" s="14"/>
      <c r="M177" s="14"/>
      <c r="O177" s="14"/>
    </row>
    <row r="178" spans="7:16" ht="15.75" customHeight="1">
      <c r="G178" s="18"/>
      <c r="H178" s="18"/>
      <c r="I178" s="39"/>
      <c r="J178" s="67"/>
      <c r="K178" s="14"/>
      <c r="M178" s="14"/>
      <c r="O178" s="40"/>
      <c r="P178" s="21"/>
    </row>
    <row r="179" spans="1:16" ht="18" customHeight="1">
      <c r="A179" s="60" t="s">
        <v>871</v>
      </c>
      <c r="B179" s="60"/>
      <c r="G179" s="18"/>
      <c r="H179" s="18"/>
      <c r="I179" s="39"/>
      <c r="J179" s="67"/>
      <c r="K179" s="14"/>
      <c r="M179" s="14"/>
      <c r="O179" s="40"/>
      <c r="P179" s="21"/>
    </row>
    <row r="180" spans="2:15" ht="21" customHeight="1">
      <c r="B180" s="9" t="s">
        <v>1082</v>
      </c>
      <c r="C180" s="43"/>
      <c r="D180" s="152" t="s">
        <v>547</v>
      </c>
      <c r="F180" s="19"/>
      <c r="G180" s="45"/>
      <c r="H180" s="45"/>
      <c r="J180" s="34"/>
      <c r="K180" s="14"/>
      <c r="M180" s="14"/>
      <c r="O180" s="40" t="s">
        <v>859</v>
      </c>
    </row>
    <row r="181" spans="2:16" ht="17.25" customHeight="1">
      <c r="B181" s="9" t="s">
        <v>63</v>
      </c>
      <c r="D181" s="3"/>
      <c r="E181" s="3" t="s">
        <v>71</v>
      </c>
      <c r="F181" s="3"/>
      <c r="G181" s="69"/>
      <c r="I181" s="42"/>
      <c r="J181" s="67"/>
      <c r="K181" s="14"/>
      <c r="M181" s="14"/>
      <c r="O181" s="40"/>
      <c r="P181" s="21"/>
    </row>
    <row r="182" spans="3:16" ht="15.75" customHeight="1">
      <c r="C182" s="43" t="s">
        <v>495</v>
      </c>
      <c r="E182" s="48" t="s">
        <v>676</v>
      </c>
      <c r="F182" s="151">
        <v>7</v>
      </c>
      <c r="G182" s="46">
        <v>30873</v>
      </c>
      <c r="H182" s="124">
        <v>38214</v>
      </c>
      <c r="I182" s="157"/>
      <c r="J182" s="34" t="s">
        <v>564</v>
      </c>
      <c r="K182" s="40">
        <v>4000.363</v>
      </c>
      <c r="L182" s="21"/>
      <c r="M182" s="47" t="s">
        <v>65</v>
      </c>
      <c r="N182" s="27"/>
      <c r="O182" s="40">
        <f>K182+M182</f>
        <v>4000.363</v>
      </c>
      <c r="P182" s="21"/>
    </row>
    <row r="183" spans="3:16" ht="15.75" customHeight="1">
      <c r="C183" s="43" t="s">
        <v>7</v>
      </c>
      <c r="E183" s="48" t="s">
        <v>677</v>
      </c>
      <c r="F183" s="151">
        <v>7</v>
      </c>
      <c r="G183" s="46">
        <v>29174</v>
      </c>
      <c r="H183" s="124">
        <v>40132</v>
      </c>
      <c r="I183" s="157"/>
      <c r="J183" s="34" t="s">
        <v>642</v>
      </c>
      <c r="K183" s="40">
        <v>4201.062</v>
      </c>
      <c r="L183" s="21"/>
      <c r="M183" s="47" t="s">
        <v>65</v>
      </c>
      <c r="N183" s="27"/>
      <c r="O183" s="40">
        <f>K183+M183</f>
        <v>4201.062</v>
      </c>
      <c r="P183" s="21"/>
    </row>
    <row r="184" spans="6:16" ht="15.75" customHeight="1">
      <c r="F184" s="151"/>
      <c r="G184" s="45"/>
      <c r="H184" s="106">
        <v>38306</v>
      </c>
      <c r="I184" s="156">
        <v>8</v>
      </c>
      <c r="J184" s="34"/>
      <c r="K184" s="40"/>
      <c r="L184" s="21"/>
      <c r="M184" s="40"/>
      <c r="N184" s="21"/>
      <c r="O184" s="40" t="s">
        <v>859</v>
      </c>
      <c r="P184" s="21"/>
    </row>
    <row r="185" spans="3:16" ht="15.75" customHeight="1">
      <c r="C185" s="43" t="s">
        <v>8</v>
      </c>
      <c r="E185" s="48" t="s">
        <v>674</v>
      </c>
      <c r="G185" s="46">
        <v>30985</v>
      </c>
      <c r="H185" s="124">
        <v>38306</v>
      </c>
      <c r="I185" s="157"/>
      <c r="J185" s="34" t="s">
        <v>642</v>
      </c>
      <c r="K185" s="40">
        <v>8301.806</v>
      </c>
      <c r="L185" s="21"/>
      <c r="M185" s="47" t="s">
        <v>65</v>
      </c>
      <c r="N185" s="27"/>
      <c r="O185" s="40">
        <f>K185+M185</f>
        <v>8301.806</v>
      </c>
      <c r="P185" s="21"/>
    </row>
    <row r="186" spans="3:16" ht="15.75" customHeight="1">
      <c r="C186" s="43" t="s">
        <v>9</v>
      </c>
      <c r="E186" s="48" t="s">
        <v>672</v>
      </c>
      <c r="F186" s="151">
        <v>7</v>
      </c>
      <c r="G186" s="46">
        <v>29266</v>
      </c>
      <c r="H186" s="124">
        <v>40224</v>
      </c>
      <c r="I186" s="157"/>
      <c r="J186" s="34" t="s">
        <v>146</v>
      </c>
      <c r="K186" s="40">
        <v>2647.309</v>
      </c>
      <c r="L186" s="21"/>
      <c r="M186" s="51">
        <v>-332.1</v>
      </c>
      <c r="N186" s="21"/>
      <c r="O186" s="40">
        <f>K186+M186</f>
        <v>2315.2090000000003</v>
      </c>
      <c r="P186" s="21"/>
    </row>
    <row r="187" spans="6:16" ht="15.75" customHeight="1">
      <c r="F187" s="155"/>
      <c r="G187" s="45"/>
      <c r="H187" s="106">
        <v>38398</v>
      </c>
      <c r="I187" s="156">
        <v>8</v>
      </c>
      <c r="J187" s="34"/>
      <c r="K187" s="40"/>
      <c r="L187" s="21"/>
      <c r="M187" s="40"/>
      <c r="N187" s="21"/>
      <c r="O187" s="40" t="s">
        <v>859</v>
      </c>
      <c r="P187" s="21"/>
    </row>
    <row r="188" spans="3:16" ht="15.75" customHeight="1">
      <c r="C188" s="43" t="s">
        <v>10</v>
      </c>
      <c r="E188" s="48" t="s">
        <v>678</v>
      </c>
      <c r="F188" s="151">
        <v>7</v>
      </c>
      <c r="G188" s="46">
        <v>29356</v>
      </c>
      <c r="H188" s="124">
        <v>40313</v>
      </c>
      <c r="I188" s="157"/>
      <c r="J188" s="387" t="s">
        <v>147</v>
      </c>
      <c r="K188" s="40">
        <v>2987.44</v>
      </c>
      <c r="L188" s="21"/>
      <c r="M188" s="47" t="s">
        <v>65</v>
      </c>
      <c r="N188" s="27"/>
      <c r="O188" s="40">
        <f>K188+M188</f>
        <v>2987.44</v>
      </c>
      <c r="P188" s="21"/>
    </row>
    <row r="189" spans="6:16" ht="15.75" customHeight="1">
      <c r="F189" s="155"/>
      <c r="G189" s="45"/>
      <c r="H189" s="106">
        <v>38487</v>
      </c>
      <c r="I189" s="156">
        <v>8</v>
      </c>
      <c r="J189" s="34"/>
      <c r="K189" s="40"/>
      <c r="L189" s="21"/>
      <c r="M189" s="40"/>
      <c r="N189" s="21"/>
      <c r="O189" s="40" t="s">
        <v>859</v>
      </c>
      <c r="P189" s="21"/>
    </row>
    <row r="190" spans="3:16" ht="15.75" customHeight="1">
      <c r="C190" s="43" t="s">
        <v>11</v>
      </c>
      <c r="E190" s="48" t="s">
        <v>679</v>
      </c>
      <c r="F190" s="151"/>
      <c r="G190" s="46">
        <v>31139</v>
      </c>
      <c r="H190" s="124">
        <v>38487</v>
      </c>
      <c r="I190" s="157"/>
      <c r="J190" s="34" t="s">
        <v>147</v>
      </c>
      <c r="K190" s="40">
        <v>4260.758</v>
      </c>
      <c r="L190" s="21"/>
      <c r="M190" s="47" t="s">
        <v>65</v>
      </c>
      <c r="N190" s="27"/>
      <c r="O190" s="40">
        <f>K190+M190</f>
        <v>4260.758</v>
      </c>
      <c r="P190" s="21"/>
    </row>
    <row r="191" spans="3:16" ht="15.75" customHeight="1">
      <c r="C191" s="43" t="s">
        <v>12</v>
      </c>
      <c r="E191" s="88" t="s">
        <v>675</v>
      </c>
      <c r="G191" s="52">
        <v>31230</v>
      </c>
      <c r="H191" s="124">
        <v>38579</v>
      </c>
      <c r="I191" s="157"/>
      <c r="J191" s="34" t="s">
        <v>564</v>
      </c>
      <c r="K191" s="40">
        <v>9269.713</v>
      </c>
      <c r="L191" s="21"/>
      <c r="M191" s="47" t="s">
        <v>65</v>
      </c>
      <c r="N191" s="27"/>
      <c r="O191" s="40">
        <f aca="true" t="shared" si="8" ref="O191:O205">K191+M191</f>
        <v>9269.713</v>
      </c>
      <c r="P191" s="21"/>
    </row>
    <row r="192" spans="3:16" ht="15.75" customHeight="1">
      <c r="C192" s="43" t="s">
        <v>13</v>
      </c>
      <c r="E192" s="48" t="s">
        <v>680</v>
      </c>
      <c r="F192" s="151">
        <v>7</v>
      </c>
      <c r="G192" s="46">
        <v>29542</v>
      </c>
      <c r="H192" s="124">
        <v>40497</v>
      </c>
      <c r="I192" s="157"/>
      <c r="J192" s="34" t="s">
        <v>642</v>
      </c>
      <c r="K192" s="40">
        <v>4736.37</v>
      </c>
      <c r="L192" s="21"/>
      <c r="M192" s="51">
        <v>-655</v>
      </c>
      <c r="N192" s="27"/>
      <c r="O192" s="40">
        <f t="shared" si="8"/>
        <v>4081.37</v>
      </c>
      <c r="P192" s="21"/>
    </row>
    <row r="193" spans="2:16" ht="15.75" customHeight="1">
      <c r="B193" s="9"/>
      <c r="E193" s="3"/>
      <c r="F193" s="158"/>
      <c r="G193" s="46"/>
      <c r="H193" s="106">
        <v>38671</v>
      </c>
      <c r="I193" s="156">
        <v>8</v>
      </c>
      <c r="J193" s="67"/>
      <c r="K193" s="14"/>
      <c r="M193" s="14"/>
      <c r="O193" s="40" t="s">
        <v>859</v>
      </c>
      <c r="P193" s="21"/>
    </row>
    <row r="194" spans="2:16" ht="15.75" customHeight="1">
      <c r="B194" s="9"/>
      <c r="C194" s="43" t="s">
        <v>14</v>
      </c>
      <c r="E194" s="48" t="s">
        <v>681</v>
      </c>
      <c r="G194" s="46">
        <v>31427</v>
      </c>
      <c r="H194" s="124">
        <v>38763</v>
      </c>
      <c r="I194" s="158"/>
      <c r="J194" s="34" t="s">
        <v>146</v>
      </c>
      <c r="K194" s="40">
        <v>4755.916</v>
      </c>
      <c r="L194" s="21"/>
      <c r="M194" s="47" t="s">
        <v>65</v>
      </c>
      <c r="N194" s="27"/>
      <c r="O194" s="40">
        <f t="shared" si="8"/>
        <v>4755.916</v>
      </c>
      <c r="P194" s="21"/>
    </row>
    <row r="195" spans="2:16" ht="15.75" customHeight="1">
      <c r="B195" s="9"/>
      <c r="C195" s="43" t="s">
        <v>15</v>
      </c>
      <c r="E195" s="48" t="s">
        <v>617</v>
      </c>
      <c r="F195" s="151">
        <v>7</v>
      </c>
      <c r="G195" s="46">
        <v>29721</v>
      </c>
      <c r="H195" s="124">
        <v>40678</v>
      </c>
      <c r="I195" s="158"/>
      <c r="J195" s="34" t="s">
        <v>147</v>
      </c>
      <c r="K195" s="40">
        <v>4608.503</v>
      </c>
      <c r="L195" s="21"/>
      <c r="M195" s="51">
        <v>-1064</v>
      </c>
      <c r="N195" s="27"/>
      <c r="O195" s="40">
        <f t="shared" si="8"/>
        <v>3544.5029999999997</v>
      </c>
      <c r="P195" s="21"/>
    </row>
    <row r="196" spans="3:16" ht="15.75" customHeight="1">
      <c r="C196" s="43" t="s">
        <v>859</v>
      </c>
      <c r="F196" s="150"/>
      <c r="G196" s="45"/>
      <c r="H196" s="106">
        <v>38852</v>
      </c>
      <c r="I196" s="156">
        <v>8</v>
      </c>
      <c r="J196" s="34"/>
      <c r="K196" s="40"/>
      <c r="L196" s="21"/>
      <c r="M196" s="40"/>
      <c r="N196" s="21"/>
      <c r="O196" s="40" t="s">
        <v>859</v>
      </c>
      <c r="P196" s="21"/>
    </row>
    <row r="197" spans="3:16" ht="15.75" customHeight="1">
      <c r="C197" s="43" t="s">
        <v>16</v>
      </c>
      <c r="E197" s="48" t="s">
        <v>618</v>
      </c>
      <c r="F197" s="151">
        <v>7</v>
      </c>
      <c r="G197" s="46">
        <v>29906</v>
      </c>
      <c r="H197" s="124">
        <v>40862</v>
      </c>
      <c r="I197" s="157"/>
      <c r="J197" s="34" t="s">
        <v>642</v>
      </c>
      <c r="K197" s="40">
        <v>4900.545</v>
      </c>
      <c r="L197" s="21"/>
      <c r="M197" s="51">
        <v>-852.1</v>
      </c>
      <c r="N197" s="27"/>
      <c r="O197" s="40">
        <f t="shared" si="8"/>
        <v>4048.445</v>
      </c>
      <c r="P197" s="21"/>
    </row>
    <row r="198" spans="6:16" ht="15.75" customHeight="1">
      <c r="F198" s="150"/>
      <c r="G198" s="45"/>
      <c r="H198" s="106">
        <v>39036</v>
      </c>
      <c r="I198" s="156">
        <v>8</v>
      </c>
      <c r="J198" s="34"/>
      <c r="K198" s="40"/>
      <c r="L198" s="21"/>
      <c r="M198" s="40"/>
      <c r="N198" s="21"/>
      <c r="O198" s="40" t="s">
        <v>859</v>
      </c>
      <c r="P198" s="21"/>
    </row>
    <row r="199" spans="3:16" ht="15.75" customHeight="1">
      <c r="C199" s="43" t="s">
        <v>109</v>
      </c>
      <c r="E199" s="48" t="s">
        <v>677</v>
      </c>
      <c r="F199" s="151">
        <v>7</v>
      </c>
      <c r="G199" s="46">
        <v>30270</v>
      </c>
      <c r="H199" s="124">
        <v>41228</v>
      </c>
      <c r="I199" s="157"/>
      <c r="J199" s="34" t="s">
        <v>642</v>
      </c>
      <c r="K199" s="40">
        <v>11031.518</v>
      </c>
      <c r="L199" s="21"/>
      <c r="M199" s="51">
        <v>-905.5</v>
      </c>
      <c r="N199" s="21"/>
      <c r="O199" s="40">
        <f t="shared" si="8"/>
        <v>10126.018</v>
      </c>
      <c r="P199" s="21"/>
    </row>
    <row r="200" spans="3:16" ht="15.75" customHeight="1">
      <c r="C200" s="43"/>
      <c r="E200" s="48"/>
      <c r="F200" s="150"/>
      <c r="G200" s="46"/>
      <c r="H200" s="106">
        <v>39401</v>
      </c>
      <c r="I200" s="156">
        <v>8</v>
      </c>
      <c r="J200" s="34"/>
      <c r="K200" s="40"/>
      <c r="L200" s="21"/>
      <c r="M200" s="47"/>
      <c r="N200" s="27"/>
      <c r="O200" s="40" t="s">
        <v>859</v>
      </c>
      <c r="P200" s="21"/>
    </row>
    <row r="201" spans="3:16" ht="15.75" customHeight="1">
      <c r="C201" s="43" t="s">
        <v>110</v>
      </c>
      <c r="E201" s="48" t="s">
        <v>679</v>
      </c>
      <c r="F201" s="151">
        <v>7</v>
      </c>
      <c r="G201" s="46">
        <v>30543</v>
      </c>
      <c r="H201" s="124">
        <v>41501</v>
      </c>
      <c r="I201" s="157"/>
      <c r="J201" s="34" t="s">
        <v>564</v>
      </c>
      <c r="K201" s="40">
        <v>14755.363</v>
      </c>
      <c r="L201" s="21"/>
      <c r="M201" s="51">
        <v>-2838.3</v>
      </c>
      <c r="N201" s="181"/>
      <c r="O201" s="40">
        <f t="shared" si="8"/>
        <v>11917.062999999998</v>
      </c>
      <c r="P201" s="21"/>
    </row>
    <row r="202" spans="6:16" ht="15.75" customHeight="1">
      <c r="F202" s="150"/>
      <c r="G202" s="45"/>
      <c r="H202" s="106">
        <v>39675</v>
      </c>
      <c r="I202" s="156">
        <v>8</v>
      </c>
      <c r="J202" s="34"/>
      <c r="K202" s="40"/>
      <c r="L202" s="21"/>
      <c r="M202" s="40"/>
      <c r="N202" s="21"/>
      <c r="O202" s="40" t="s">
        <v>859</v>
      </c>
      <c r="P202" s="21"/>
    </row>
    <row r="203" spans="3:16" ht="15.75" customHeight="1">
      <c r="C203" s="43" t="s">
        <v>111</v>
      </c>
      <c r="E203" s="48" t="s">
        <v>619</v>
      </c>
      <c r="F203" s="151">
        <v>7</v>
      </c>
      <c r="G203" s="46">
        <v>30817</v>
      </c>
      <c r="H203" s="124">
        <v>41774</v>
      </c>
      <c r="I203" s="157"/>
      <c r="J203" s="34" t="s">
        <v>147</v>
      </c>
      <c r="K203" s="40">
        <v>5007.367</v>
      </c>
      <c r="L203" s="21"/>
      <c r="M203" s="51">
        <v>-526.6</v>
      </c>
      <c r="N203" s="27"/>
      <c r="O203" s="40">
        <f t="shared" si="8"/>
        <v>4480.767</v>
      </c>
      <c r="P203" s="21"/>
    </row>
    <row r="204" spans="6:16" ht="15.75" customHeight="1">
      <c r="F204" s="150"/>
      <c r="G204" s="45"/>
      <c r="H204" s="106">
        <v>39948</v>
      </c>
      <c r="I204" s="156">
        <v>8</v>
      </c>
      <c r="J204" s="34"/>
      <c r="K204" s="40"/>
      <c r="L204" s="21"/>
      <c r="M204" s="40"/>
      <c r="N204" s="21"/>
      <c r="O204" s="40" t="s">
        <v>859</v>
      </c>
      <c r="P204" s="21"/>
    </row>
    <row r="205" spans="3:16" ht="15.75" customHeight="1">
      <c r="C205" s="43" t="s">
        <v>112</v>
      </c>
      <c r="E205" s="48" t="s">
        <v>620</v>
      </c>
      <c r="F205" s="151">
        <v>7</v>
      </c>
      <c r="G205" s="46">
        <v>30909</v>
      </c>
      <c r="H205" s="124">
        <v>41866</v>
      </c>
      <c r="I205" s="157"/>
      <c r="J205" s="34" t="s">
        <v>564</v>
      </c>
      <c r="K205" s="40">
        <v>5128.392</v>
      </c>
      <c r="L205" s="21"/>
      <c r="M205" s="51">
        <v>-740.4</v>
      </c>
      <c r="N205" s="27"/>
      <c r="O205" s="40">
        <f t="shared" si="8"/>
        <v>4387.992</v>
      </c>
      <c r="P205" s="21"/>
    </row>
    <row r="206" spans="6:16" ht="15.75" customHeight="1">
      <c r="F206" s="150"/>
      <c r="G206" s="45"/>
      <c r="H206" s="106">
        <v>40040</v>
      </c>
      <c r="I206" s="156">
        <v>8</v>
      </c>
      <c r="J206" s="34"/>
      <c r="K206" s="40"/>
      <c r="L206" s="21"/>
      <c r="M206" s="40"/>
      <c r="N206" s="21"/>
      <c r="O206" s="40" t="s">
        <v>859</v>
      </c>
      <c r="P206" s="21"/>
    </row>
    <row r="207" spans="3:16" ht="15.75" customHeight="1">
      <c r="C207" s="43" t="s">
        <v>113</v>
      </c>
      <c r="E207" s="48" t="s">
        <v>672</v>
      </c>
      <c r="F207" s="151"/>
      <c r="G207" s="46">
        <v>31001</v>
      </c>
      <c r="H207" s="124">
        <v>41958</v>
      </c>
      <c r="I207" s="157"/>
      <c r="J207" s="34" t="s">
        <v>642</v>
      </c>
      <c r="K207" s="40">
        <v>6005.584</v>
      </c>
      <c r="L207" s="21"/>
      <c r="M207" s="51">
        <v>-990.3</v>
      </c>
      <c r="N207" s="181"/>
      <c r="O207" s="40">
        <f>K207+M207</f>
        <v>5015.284</v>
      </c>
      <c r="P207" s="21"/>
    </row>
    <row r="208" spans="6:16" ht="15.75" customHeight="1">
      <c r="F208" s="155"/>
      <c r="G208" s="45"/>
      <c r="H208" s="106">
        <v>40132</v>
      </c>
      <c r="I208" s="156">
        <v>8</v>
      </c>
      <c r="J208" s="34"/>
      <c r="K208" s="40"/>
      <c r="L208" s="21"/>
      <c r="M208" s="40"/>
      <c r="N208" s="21"/>
      <c r="O208" s="40" t="s">
        <v>859</v>
      </c>
      <c r="P208" s="21"/>
    </row>
    <row r="209" spans="3:16" ht="15.75" customHeight="1">
      <c r="C209" s="43" t="s">
        <v>1181</v>
      </c>
      <c r="E209" s="48" t="s">
        <v>621</v>
      </c>
      <c r="F209" s="151"/>
      <c r="G209" s="46">
        <v>31093</v>
      </c>
      <c r="H209" s="132">
        <v>42050</v>
      </c>
      <c r="I209" s="3"/>
      <c r="J209" s="34" t="s">
        <v>146</v>
      </c>
      <c r="K209" s="40">
        <v>12667.799</v>
      </c>
      <c r="L209" s="21"/>
      <c r="M209" s="51">
        <v>-2147.5</v>
      </c>
      <c r="N209" s="27"/>
      <c r="O209" s="40">
        <f>K209+M209</f>
        <v>10520.299</v>
      </c>
      <c r="P209" s="21"/>
    </row>
    <row r="210" spans="3:16" ht="15.75" customHeight="1">
      <c r="C210" s="43" t="s">
        <v>1182</v>
      </c>
      <c r="E210" s="48" t="s">
        <v>622</v>
      </c>
      <c r="F210" s="151"/>
      <c r="G210" s="46">
        <v>31274</v>
      </c>
      <c r="H210" s="132">
        <v>42231</v>
      </c>
      <c r="I210" s="3"/>
      <c r="J210" s="34" t="s">
        <v>564</v>
      </c>
      <c r="K210" s="40">
        <v>7149.916</v>
      </c>
      <c r="L210" s="21"/>
      <c r="M210" s="51">
        <v>-3126</v>
      </c>
      <c r="N210" s="27"/>
      <c r="O210" s="40">
        <f>K210+M210</f>
        <v>4023.916</v>
      </c>
      <c r="P210" s="21"/>
    </row>
    <row r="211" spans="3:16" ht="15.75" customHeight="1">
      <c r="C211" s="43" t="s">
        <v>1183</v>
      </c>
      <c r="E211" s="48" t="s">
        <v>1161</v>
      </c>
      <c r="F211" s="151"/>
      <c r="G211" s="46">
        <v>31380</v>
      </c>
      <c r="H211" s="132">
        <v>42323</v>
      </c>
      <c r="I211" s="3"/>
      <c r="J211" s="34" t="s">
        <v>642</v>
      </c>
      <c r="K211" s="40">
        <v>6899.859</v>
      </c>
      <c r="L211" s="21"/>
      <c r="M211" s="51">
        <v>-1315</v>
      </c>
      <c r="N211" s="27"/>
      <c r="O211" s="40">
        <f>K211+M211</f>
        <v>5584.859</v>
      </c>
      <c r="P211" s="21"/>
    </row>
    <row r="212" spans="3:16" ht="15.75" customHeight="1">
      <c r="C212" s="43" t="s">
        <v>1184</v>
      </c>
      <c r="E212" s="48" t="s">
        <v>1162</v>
      </c>
      <c r="F212" s="151"/>
      <c r="G212" s="46">
        <v>31461</v>
      </c>
      <c r="H212" s="132">
        <v>42415</v>
      </c>
      <c r="I212" s="3"/>
      <c r="J212" s="34" t="s">
        <v>146</v>
      </c>
      <c r="K212" s="40">
        <v>7266.854</v>
      </c>
      <c r="L212" s="21"/>
      <c r="M212" s="51">
        <v>-1835.1</v>
      </c>
      <c r="N212" s="27"/>
      <c r="O212" s="40">
        <f aca="true" t="shared" si="9" ref="O212:O238">K212+M212</f>
        <v>5431.754000000001</v>
      </c>
      <c r="P212" s="21"/>
    </row>
    <row r="213" spans="3:16" ht="15.75" customHeight="1">
      <c r="C213" s="43" t="s">
        <v>1185</v>
      </c>
      <c r="E213" s="48" t="s">
        <v>670</v>
      </c>
      <c r="F213" s="151"/>
      <c r="G213" s="46">
        <v>31547</v>
      </c>
      <c r="H213" s="132">
        <v>42505</v>
      </c>
      <c r="I213" s="3"/>
      <c r="J213" s="34" t="s">
        <v>147</v>
      </c>
      <c r="K213" s="40">
        <v>18823.551</v>
      </c>
      <c r="L213" s="21"/>
      <c r="M213" s="47" t="s">
        <v>65</v>
      </c>
      <c r="N213" s="27"/>
      <c r="O213" s="40">
        <f t="shared" si="9"/>
        <v>18823.551</v>
      </c>
      <c r="P213" s="21"/>
    </row>
    <row r="214" spans="3:16" ht="15.75" customHeight="1">
      <c r="C214" s="43" t="s">
        <v>1186</v>
      </c>
      <c r="E214" s="48" t="s">
        <v>658</v>
      </c>
      <c r="F214" s="151"/>
      <c r="G214" s="46">
        <v>31733</v>
      </c>
      <c r="H214" s="132">
        <v>42689</v>
      </c>
      <c r="I214" s="3"/>
      <c r="J214" s="34" t="s">
        <v>642</v>
      </c>
      <c r="K214" s="40">
        <v>18864.448</v>
      </c>
      <c r="L214" s="21"/>
      <c r="M214" s="51">
        <v>-77</v>
      </c>
      <c r="N214" s="27"/>
      <c r="O214" s="40">
        <f t="shared" si="9"/>
        <v>18787.448</v>
      </c>
      <c r="P214" s="21"/>
    </row>
    <row r="215" spans="3:16" ht="15.75" customHeight="1">
      <c r="C215" s="43" t="s">
        <v>1187</v>
      </c>
      <c r="E215" s="48" t="s">
        <v>666</v>
      </c>
      <c r="F215" s="151"/>
      <c r="G215" s="46">
        <v>31912</v>
      </c>
      <c r="H215" s="132">
        <v>42870</v>
      </c>
      <c r="I215" s="3"/>
      <c r="J215" s="34" t="s">
        <v>147</v>
      </c>
      <c r="K215" s="40">
        <v>18194.169</v>
      </c>
      <c r="L215" s="21"/>
      <c r="M215" s="51">
        <v>-2635</v>
      </c>
      <c r="N215" s="27"/>
      <c r="O215" s="40">
        <f t="shared" si="9"/>
        <v>15559.169000000002</v>
      </c>
      <c r="P215" s="21"/>
    </row>
    <row r="216" spans="3:16" ht="15.75" customHeight="1">
      <c r="C216" s="43" t="s">
        <v>1188</v>
      </c>
      <c r="E216" s="48" t="s">
        <v>82</v>
      </c>
      <c r="F216" s="151"/>
      <c r="G216" s="46">
        <v>32006</v>
      </c>
      <c r="H216" s="132">
        <v>42962</v>
      </c>
      <c r="I216" s="3"/>
      <c r="J216" s="34" t="s">
        <v>564</v>
      </c>
      <c r="K216" s="40">
        <v>14016.858</v>
      </c>
      <c r="L216" s="21"/>
      <c r="M216" s="51">
        <v>-3048.5</v>
      </c>
      <c r="N216" s="27"/>
      <c r="O216" s="40">
        <f t="shared" si="9"/>
        <v>10968.358</v>
      </c>
      <c r="P216" s="21"/>
    </row>
    <row r="217" spans="3:16" ht="15.75" customHeight="1">
      <c r="C217" s="43" t="s">
        <v>1189</v>
      </c>
      <c r="E217" s="48" t="s">
        <v>641</v>
      </c>
      <c r="F217" s="151"/>
      <c r="G217" s="46">
        <v>32279</v>
      </c>
      <c r="H217" s="132">
        <v>43235</v>
      </c>
      <c r="I217" s="3"/>
      <c r="J217" s="34" t="s">
        <v>147</v>
      </c>
      <c r="K217" s="40">
        <v>8708.639</v>
      </c>
      <c r="L217" s="21"/>
      <c r="M217" s="51">
        <v>-1991.2</v>
      </c>
      <c r="N217" s="27"/>
      <c r="O217" s="40">
        <f t="shared" si="9"/>
        <v>6717.438999999999</v>
      </c>
      <c r="P217" s="21"/>
    </row>
    <row r="218" spans="3:16" ht="15.75" customHeight="1">
      <c r="C218" s="43" t="s">
        <v>1190</v>
      </c>
      <c r="E218" s="48" t="s">
        <v>1163</v>
      </c>
      <c r="F218" s="151"/>
      <c r="G218" s="46">
        <v>32469</v>
      </c>
      <c r="H218" s="132">
        <v>43419</v>
      </c>
      <c r="I218" s="3"/>
      <c r="J218" s="34" t="s">
        <v>642</v>
      </c>
      <c r="K218" s="40">
        <v>9032.87</v>
      </c>
      <c r="L218" s="21"/>
      <c r="M218" s="51">
        <v>-1858.4</v>
      </c>
      <c r="N218" s="27"/>
      <c r="O218" s="40">
        <f t="shared" si="9"/>
        <v>7174.470000000001</v>
      </c>
      <c r="P218" s="21"/>
    </row>
    <row r="219" spans="3:16" ht="15.75" customHeight="1">
      <c r="C219" s="43" t="s">
        <v>1191</v>
      </c>
      <c r="E219" s="48" t="s">
        <v>82</v>
      </c>
      <c r="F219" s="151"/>
      <c r="G219" s="46">
        <v>32554</v>
      </c>
      <c r="H219" s="132">
        <v>43511</v>
      </c>
      <c r="I219" s="3"/>
      <c r="J219" s="34" t="s">
        <v>146</v>
      </c>
      <c r="K219" s="40">
        <v>19250.798</v>
      </c>
      <c r="L219" s="21"/>
      <c r="M219" s="51">
        <v>-6160.3</v>
      </c>
      <c r="N219" s="27"/>
      <c r="O219" s="40">
        <f t="shared" si="9"/>
        <v>13090.498</v>
      </c>
      <c r="P219" s="21"/>
    </row>
    <row r="220" spans="3:16" ht="15.75" customHeight="1">
      <c r="C220" s="43" t="s">
        <v>1192</v>
      </c>
      <c r="E220" s="48" t="s">
        <v>949</v>
      </c>
      <c r="F220" s="151"/>
      <c r="G220" s="46">
        <v>32735</v>
      </c>
      <c r="H220" s="132">
        <v>43692</v>
      </c>
      <c r="I220" s="3"/>
      <c r="J220" s="34" t="s">
        <v>564</v>
      </c>
      <c r="K220" s="40">
        <v>20213.832</v>
      </c>
      <c r="L220" s="21"/>
      <c r="M220" s="51">
        <v>-1272.9</v>
      </c>
      <c r="N220" s="27"/>
      <c r="O220" s="40">
        <f t="shared" si="9"/>
        <v>18940.931999999997</v>
      </c>
      <c r="P220" s="21"/>
    </row>
    <row r="221" spans="3:16" ht="15.75" customHeight="1">
      <c r="C221" s="43" t="s">
        <v>1193</v>
      </c>
      <c r="E221" s="48" t="s">
        <v>664</v>
      </c>
      <c r="F221" s="151"/>
      <c r="G221" s="46">
        <v>32919</v>
      </c>
      <c r="H221" s="132">
        <v>43876</v>
      </c>
      <c r="I221" s="3"/>
      <c r="J221" s="34" t="s">
        <v>146</v>
      </c>
      <c r="K221" s="40">
        <v>10228.868</v>
      </c>
      <c r="L221" s="21"/>
      <c r="M221" s="51">
        <v>-752.6</v>
      </c>
      <c r="N221" s="27"/>
      <c r="O221" s="40">
        <f t="shared" si="9"/>
        <v>9476.268</v>
      </c>
      <c r="P221" s="21"/>
    </row>
    <row r="222" spans="3:16" ht="15.75" customHeight="1">
      <c r="C222" s="43" t="s">
        <v>1194</v>
      </c>
      <c r="E222" s="48" t="s">
        <v>666</v>
      </c>
      <c r="F222" s="151"/>
      <c r="G222" s="46">
        <v>33008</v>
      </c>
      <c r="H222" s="132">
        <v>43966</v>
      </c>
      <c r="I222" s="3"/>
      <c r="J222" s="34" t="s">
        <v>147</v>
      </c>
      <c r="K222" s="40">
        <v>10158.883</v>
      </c>
      <c r="L222" s="21"/>
      <c r="M222" s="51">
        <v>-2576.7</v>
      </c>
      <c r="N222" s="27"/>
      <c r="O222" s="40">
        <f t="shared" si="9"/>
        <v>7582.183</v>
      </c>
      <c r="P222" s="21"/>
    </row>
    <row r="223" spans="3:16" ht="15.75" customHeight="1">
      <c r="C223" s="43" t="s">
        <v>1195</v>
      </c>
      <c r="E223" s="48" t="s">
        <v>666</v>
      </c>
      <c r="F223" s="151"/>
      <c r="G223" s="46">
        <v>33100</v>
      </c>
      <c r="H223" s="132">
        <v>44058</v>
      </c>
      <c r="I223" s="3"/>
      <c r="J223" s="34" t="s">
        <v>564</v>
      </c>
      <c r="K223" s="40">
        <v>21418.606</v>
      </c>
      <c r="L223" s="21"/>
      <c r="M223" s="51">
        <v>-4359.3</v>
      </c>
      <c r="N223" s="27"/>
      <c r="O223" s="40">
        <f t="shared" si="9"/>
        <v>17059.306</v>
      </c>
      <c r="P223" s="21"/>
    </row>
    <row r="224" spans="3:16" ht="15.75" customHeight="1">
      <c r="C224" s="43" t="s">
        <v>1196</v>
      </c>
      <c r="E224" s="48" t="s">
        <v>661</v>
      </c>
      <c r="F224" s="151"/>
      <c r="G224" s="46">
        <v>33284</v>
      </c>
      <c r="H224" s="132">
        <v>44242</v>
      </c>
      <c r="I224" s="3"/>
      <c r="J224" s="34" t="s">
        <v>146</v>
      </c>
      <c r="K224" s="40">
        <v>11113.373</v>
      </c>
      <c r="L224" s="21"/>
      <c r="M224" s="51">
        <v>-1037.8</v>
      </c>
      <c r="N224" s="27"/>
      <c r="O224" s="40">
        <f t="shared" si="9"/>
        <v>10075.573</v>
      </c>
      <c r="P224" s="21"/>
    </row>
    <row r="225" spans="3:16" ht="15.75" customHeight="1">
      <c r="C225" s="43" t="s">
        <v>1197</v>
      </c>
      <c r="E225" s="48" t="s">
        <v>949</v>
      </c>
      <c r="F225" s="151"/>
      <c r="G225" s="46">
        <v>33373</v>
      </c>
      <c r="H225" s="132">
        <v>44331</v>
      </c>
      <c r="I225" s="3"/>
      <c r="J225" s="34" t="s">
        <v>147</v>
      </c>
      <c r="K225" s="40">
        <v>11958.888</v>
      </c>
      <c r="L225" s="21"/>
      <c r="M225" s="51">
        <v>-1892.1</v>
      </c>
      <c r="N225" s="27"/>
      <c r="O225" s="40">
        <f t="shared" si="9"/>
        <v>10066.788</v>
      </c>
      <c r="P225" s="21"/>
    </row>
    <row r="226" spans="3:16" ht="15.75" customHeight="1">
      <c r="C226" s="43" t="s">
        <v>1198</v>
      </c>
      <c r="E226" s="48" t="s">
        <v>949</v>
      </c>
      <c r="F226" s="151"/>
      <c r="G226" s="46">
        <v>33465</v>
      </c>
      <c r="H226" s="132">
        <v>44423</v>
      </c>
      <c r="I226" s="3"/>
      <c r="J226" s="34" t="s">
        <v>564</v>
      </c>
      <c r="K226" s="40">
        <v>12163.482</v>
      </c>
      <c r="L226" s="21"/>
      <c r="M226" s="51">
        <v>-2657.1</v>
      </c>
      <c r="N226" s="27"/>
      <c r="O226" s="40">
        <f t="shared" si="9"/>
        <v>9506.382</v>
      </c>
      <c r="P226" s="21"/>
    </row>
    <row r="227" spans="3:16" ht="15.75" customHeight="1">
      <c r="C227" s="43" t="s">
        <v>1199</v>
      </c>
      <c r="E227" s="48">
        <v>8</v>
      </c>
      <c r="F227" s="151"/>
      <c r="G227" s="46">
        <v>33557</v>
      </c>
      <c r="H227" s="132">
        <v>44515</v>
      </c>
      <c r="I227" s="3"/>
      <c r="J227" s="34" t="s">
        <v>642</v>
      </c>
      <c r="K227" s="40">
        <v>32798.394</v>
      </c>
      <c r="L227" s="21"/>
      <c r="M227" s="51">
        <v>-2166.2</v>
      </c>
      <c r="N227" s="27"/>
      <c r="O227" s="40">
        <f t="shared" si="9"/>
        <v>30632.194</v>
      </c>
      <c r="P227" s="21"/>
    </row>
    <row r="228" spans="3:16" ht="15.75" customHeight="1">
      <c r="C228" s="43" t="s">
        <v>1200</v>
      </c>
      <c r="E228" s="48" t="s">
        <v>670</v>
      </c>
      <c r="F228" s="151"/>
      <c r="G228" s="46">
        <v>33833</v>
      </c>
      <c r="H228" s="132">
        <v>44788</v>
      </c>
      <c r="I228" s="3"/>
      <c r="J228" s="34" t="s">
        <v>564</v>
      </c>
      <c r="K228" s="40">
        <v>10352.79</v>
      </c>
      <c r="L228" s="21"/>
      <c r="M228" s="51">
        <v>-225</v>
      </c>
      <c r="N228" s="27"/>
      <c r="O228" s="40">
        <f t="shared" si="9"/>
        <v>10127.79</v>
      </c>
      <c r="P228" s="21"/>
    </row>
    <row r="229" spans="3:16" ht="15.75" customHeight="1">
      <c r="C229" s="43" t="s">
        <v>1201</v>
      </c>
      <c r="E229" s="48" t="s">
        <v>673</v>
      </c>
      <c r="F229" s="151"/>
      <c r="G229" s="46">
        <v>33924</v>
      </c>
      <c r="H229" s="132">
        <v>44880</v>
      </c>
      <c r="I229" s="3"/>
      <c r="J229" s="34" t="s">
        <v>642</v>
      </c>
      <c r="K229" s="40">
        <v>10699.626</v>
      </c>
      <c r="L229" s="21"/>
      <c r="M229" s="51">
        <v>-3276</v>
      </c>
      <c r="N229" s="27"/>
      <c r="O229" s="40">
        <f t="shared" si="9"/>
        <v>7423.626</v>
      </c>
      <c r="P229" s="21"/>
    </row>
    <row r="230" spans="3:16" ht="15.75" customHeight="1">
      <c r="C230" s="43" t="s">
        <v>1202</v>
      </c>
      <c r="E230" s="48" t="s">
        <v>655</v>
      </c>
      <c r="F230" s="151"/>
      <c r="G230" s="46">
        <v>34016</v>
      </c>
      <c r="H230" s="132">
        <v>44972</v>
      </c>
      <c r="I230" s="3"/>
      <c r="J230" s="34" t="s">
        <v>146</v>
      </c>
      <c r="K230" s="40">
        <v>18374.361</v>
      </c>
      <c r="L230" s="21"/>
      <c r="M230" s="51">
        <v>-2592.3</v>
      </c>
      <c r="N230" s="27"/>
      <c r="O230" s="40">
        <f t="shared" si="9"/>
        <v>15782.061000000002</v>
      </c>
      <c r="P230" s="21"/>
    </row>
    <row r="231" spans="3:16" ht="15.75" customHeight="1">
      <c r="C231" s="43" t="s">
        <v>1203</v>
      </c>
      <c r="E231" s="48" t="s">
        <v>633</v>
      </c>
      <c r="F231" s="151"/>
      <c r="G231" s="46">
        <v>34197</v>
      </c>
      <c r="H231" s="132">
        <v>45153</v>
      </c>
      <c r="I231" s="3"/>
      <c r="J231" s="34" t="s">
        <v>564</v>
      </c>
      <c r="K231" s="40">
        <v>22909.044</v>
      </c>
      <c r="L231" s="21"/>
      <c r="M231" s="51">
        <v>-250</v>
      </c>
      <c r="N231" s="27"/>
      <c r="O231" s="40">
        <f t="shared" si="9"/>
        <v>22659.044</v>
      </c>
      <c r="P231" s="21"/>
    </row>
    <row r="232" spans="3:16" ht="15.75" customHeight="1">
      <c r="C232" s="43" t="s">
        <v>1204</v>
      </c>
      <c r="E232" s="48" t="s">
        <v>658</v>
      </c>
      <c r="F232" s="151"/>
      <c r="G232" s="46">
        <v>34561</v>
      </c>
      <c r="H232" s="132">
        <v>45611</v>
      </c>
      <c r="I232" s="3"/>
      <c r="J232" s="34" t="s">
        <v>147</v>
      </c>
      <c r="K232" s="40">
        <v>11469.662</v>
      </c>
      <c r="L232" s="21"/>
      <c r="M232" s="51">
        <v>-1865.5</v>
      </c>
      <c r="N232" s="27"/>
      <c r="O232" s="40">
        <f t="shared" si="9"/>
        <v>9604.162</v>
      </c>
      <c r="P232" s="21"/>
    </row>
    <row r="233" spans="3:16" ht="15.75" customHeight="1">
      <c r="C233" s="43" t="s">
        <v>1205</v>
      </c>
      <c r="E233" s="48" t="s">
        <v>673</v>
      </c>
      <c r="F233" s="151"/>
      <c r="G233" s="46">
        <v>34745</v>
      </c>
      <c r="H233" s="132">
        <v>45703</v>
      </c>
      <c r="I233" s="3"/>
      <c r="J233" s="34" t="s">
        <v>146</v>
      </c>
      <c r="K233" s="40">
        <v>11725.17</v>
      </c>
      <c r="L233" s="21"/>
      <c r="M233" s="51">
        <v>-2216</v>
      </c>
      <c r="N233" s="27"/>
      <c r="O233" s="40">
        <f t="shared" si="9"/>
        <v>9509.17</v>
      </c>
      <c r="P233" s="21"/>
    </row>
    <row r="234" spans="3:16" ht="15.75" customHeight="1">
      <c r="C234" s="43" t="s">
        <v>1206</v>
      </c>
      <c r="E234" s="48" t="s">
        <v>650</v>
      </c>
      <c r="F234" s="151"/>
      <c r="G234" s="46">
        <v>34926</v>
      </c>
      <c r="H234" s="132">
        <v>45884</v>
      </c>
      <c r="I234" s="3"/>
      <c r="J234" s="34" t="s">
        <v>564</v>
      </c>
      <c r="K234" s="40">
        <v>12602.007</v>
      </c>
      <c r="L234" s="21"/>
      <c r="M234" s="51">
        <v>-1414.8</v>
      </c>
      <c r="N234" s="27"/>
      <c r="O234" s="40">
        <f t="shared" si="9"/>
        <v>11187.207</v>
      </c>
      <c r="P234" s="21"/>
    </row>
    <row r="235" spans="3:16" ht="15.75" customHeight="1">
      <c r="C235" s="43" t="s">
        <v>1207</v>
      </c>
      <c r="E235" s="48" t="s">
        <v>647</v>
      </c>
      <c r="F235" s="151"/>
      <c r="G235" s="46">
        <v>35110</v>
      </c>
      <c r="H235" s="132">
        <v>46068</v>
      </c>
      <c r="I235" s="3"/>
      <c r="J235" s="34" t="s">
        <v>146</v>
      </c>
      <c r="K235" s="40">
        <v>12904.916</v>
      </c>
      <c r="L235" s="21"/>
      <c r="M235" s="51">
        <v>-67</v>
      </c>
      <c r="N235" s="27"/>
      <c r="O235" s="40">
        <f t="shared" si="9"/>
        <v>12837.916</v>
      </c>
      <c r="P235" s="21"/>
    </row>
    <row r="236" spans="3:16" ht="15.75" customHeight="1">
      <c r="C236" s="43" t="s">
        <v>1208</v>
      </c>
      <c r="E236" s="48" t="s">
        <v>644</v>
      </c>
      <c r="F236" s="151"/>
      <c r="G236" s="89">
        <v>35292</v>
      </c>
      <c r="H236" s="133">
        <v>46249</v>
      </c>
      <c r="I236" s="3"/>
      <c r="J236" s="34" t="s">
        <v>564</v>
      </c>
      <c r="K236" s="40">
        <v>10893.818</v>
      </c>
      <c r="L236" s="21"/>
      <c r="M236" s="51">
        <v>-2083.4</v>
      </c>
      <c r="N236" s="27"/>
      <c r="O236" s="40">
        <f t="shared" si="9"/>
        <v>8810.418</v>
      </c>
      <c r="P236" s="21"/>
    </row>
    <row r="237" spans="3:16" ht="15.75" customHeight="1">
      <c r="C237" s="43" t="s">
        <v>542</v>
      </c>
      <c r="E237" s="48" t="s">
        <v>638</v>
      </c>
      <c r="F237" s="151"/>
      <c r="G237" s="89">
        <v>35384</v>
      </c>
      <c r="H237" s="133">
        <v>46341</v>
      </c>
      <c r="I237" s="3"/>
      <c r="J237" s="34" t="s">
        <v>642</v>
      </c>
      <c r="K237" s="40">
        <v>11493.177</v>
      </c>
      <c r="L237" s="21"/>
      <c r="M237" s="51">
        <v>-633</v>
      </c>
      <c r="N237" s="27"/>
      <c r="O237" s="40">
        <f t="shared" si="9"/>
        <v>10860.177</v>
      </c>
      <c r="P237" s="21"/>
    </row>
    <row r="238" spans="3:16" ht="15.75" customHeight="1">
      <c r="C238" s="43" t="s">
        <v>1126</v>
      </c>
      <c r="E238" s="48" t="s">
        <v>668</v>
      </c>
      <c r="F238" s="151"/>
      <c r="G238" s="89">
        <v>35479</v>
      </c>
      <c r="H238" s="133">
        <v>46433</v>
      </c>
      <c r="I238" s="3"/>
      <c r="J238" s="34" t="s">
        <v>146</v>
      </c>
      <c r="K238" s="40">
        <v>10456.071</v>
      </c>
      <c r="L238" s="21"/>
      <c r="M238" s="51">
        <v>-934.1</v>
      </c>
      <c r="N238" s="27"/>
      <c r="O238" s="40">
        <f t="shared" si="9"/>
        <v>9521.971</v>
      </c>
      <c r="P238" s="21"/>
    </row>
    <row r="239" spans="3:16" ht="15.75" customHeight="1">
      <c r="C239" s="43" t="s">
        <v>156</v>
      </c>
      <c r="E239" s="48" t="s">
        <v>76</v>
      </c>
      <c r="F239" s="151"/>
      <c r="G239" s="89">
        <v>35657</v>
      </c>
      <c r="H239" s="133">
        <v>46614</v>
      </c>
      <c r="I239" s="3"/>
      <c r="J239" s="34" t="s">
        <v>564</v>
      </c>
      <c r="K239" s="40">
        <v>10735.756</v>
      </c>
      <c r="L239" s="21"/>
      <c r="M239" s="51">
        <v>-1539</v>
      </c>
      <c r="N239" s="27"/>
      <c r="O239" s="40">
        <f aca="true" t="shared" si="10" ref="O239:O248">K239+M239</f>
        <v>9196.756</v>
      </c>
      <c r="P239" s="21"/>
    </row>
    <row r="240" spans="3:16" ht="14.25" customHeight="1">
      <c r="C240" s="43" t="s">
        <v>850</v>
      </c>
      <c r="E240" s="48" t="s">
        <v>665</v>
      </c>
      <c r="F240" s="151"/>
      <c r="G240" s="89">
        <v>35751</v>
      </c>
      <c r="H240" s="133">
        <v>46706</v>
      </c>
      <c r="I240" s="3"/>
      <c r="J240" s="34" t="s">
        <v>642</v>
      </c>
      <c r="K240" s="40">
        <v>22518.539</v>
      </c>
      <c r="L240" s="21"/>
      <c r="M240" s="51">
        <v>-497.2</v>
      </c>
      <c r="N240" s="27"/>
      <c r="O240" s="40">
        <f t="shared" si="10"/>
        <v>22021.339</v>
      </c>
      <c r="P240" s="21"/>
    </row>
    <row r="241" spans="3:16" ht="15.75" customHeight="1">
      <c r="C241" s="43" t="s">
        <v>1212</v>
      </c>
      <c r="E241" s="88" t="s">
        <v>566</v>
      </c>
      <c r="F241" s="151"/>
      <c r="G241" s="89">
        <v>36024</v>
      </c>
      <c r="H241" s="133">
        <v>46980</v>
      </c>
      <c r="I241" s="3"/>
      <c r="J241" s="34" t="s">
        <v>564</v>
      </c>
      <c r="K241" s="40">
        <v>11776.201</v>
      </c>
      <c r="L241" s="21"/>
      <c r="M241" s="47" t="s">
        <v>65</v>
      </c>
      <c r="N241" s="27"/>
      <c r="O241" s="40">
        <f t="shared" si="10"/>
        <v>11776.201</v>
      </c>
      <c r="P241" s="21"/>
    </row>
    <row r="242" spans="3:16" ht="16.5" customHeight="1">
      <c r="C242" s="43" t="s">
        <v>41</v>
      </c>
      <c r="E242" s="88" t="s">
        <v>667</v>
      </c>
      <c r="F242" s="151"/>
      <c r="G242" s="89">
        <v>36115</v>
      </c>
      <c r="H242" s="133">
        <v>47072</v>
      </c>
      <c r="I242" s="3"/>
      <c r="J242" s="34" t="s">
        <v>642</v>
      </c>
      <c r="K242" s="40">
        <v>10947.052</v>
      </c>
      <c r="L242" s="21"/>
      <c r="M242" s="47" t="s">
        <v>65</v>
      </c>
      <c r="N242" s="27"/>
      <c r="O242" s="40">
        <f t="shared" si="10"/>
        <v>10947.052</v>
      </c>
      <c r="P242" s="21"/>
    </row>
    <row r="243" spans="3:16" ht="15.75" customHeight="1">
      <c r="C243" s="43" t="s">
        <v>849</v>
      </c>
      <c r="E243" s="88" t="s">
        <v>667</v>
      </c>
      <c r="F243" s="151"/>
      <c r="G243" s="89">
        <v>36207</v>
      </c>
      <c r="H243" s="133">
        <v>47164</v>
      </c>
      <c r="I243" s="3"/>
      <c r="J243" s="34" t="s">
        <v>146</v>
      </c>
      <c r="K243" s="40">
        <v>11350.341</v>
      </c>
      <c r="L243" s="21"/>
      <c r="M243" s="47" t="s">
        <v>65</v>
      </c>
      <c r="N243" s="27"/>
      <c r="O243" s="40">
        <f t="shared" si="10"/>
        <v>11350.341</v>
      </c>
      <c r="P243" s="41"/>
    </row>
    <row r="244" spans="3:16" ht="15.75" customHeight="1">
      <c r="C244" s="43" t="s">
        <v>1215</v>
      </c>
      <c r="E244" s="48" t="s">
        <v>665</v>
      </c>
      <c r="F244" s="151"/>
      <c r="G244" s="89">
        <v>36388</v>
      </c>
      <c r="H244" s="133">
        <v>47345</v>
      </c>
      <c r="I244" s="3"/>
      <c r="J244" s="34" t="s">
        <v>564</v>
      </c>
      <c r="K244" s="40">
        <v>11178.58</v>
      </c>
      <c r="L244" s="21"/>
      <c r="M244" s="47" t="s">
        <v>65</v>
      </c>
      <c r="N244" s="27"/>
      <c r="O244" s="40">
        <f t="shared" si="10"/>
        <v>11178.58</v>
      </c>
      <c r="P244" s="21"/>
    </row>
    <row r="245" spans="3:16" ht="15.75" customHeight="1">
      <c r="C245" s="87" t="s">
        <v>1216</v>
      </c>
      <c r="E245" s="48" t="s">
        <v>633</v>
      </c>
      <c r="F245" s="151"/>
      <c r="G245" s="89">
        <v>36571</v>
      </c>
      <c r="H245" s="133">
        <v>47618</v>
      </c>
      <c r="I245" s="3"/>
      <c r="J245" s="34" t="s">
        <v>642</v>
      </c>
      <c r="K245" s="40">
        <v>17043.162</v>
      </c>
      <c r="L245" s="21"/>
      <c r="M245" s="47" t="s">
        <v>65</v>
      </c>
      <c r="N245" s="27"/>
      <c r="O245" s="40">
        <f t="shared" si="10"/>
        <v>17043.162</v>
      </c>
      <c r="P245" s="21"/>
    </row>
    <row r="246" spans="3:16" ht="15.75" customHeight="1">
      <c r="C246" s="87" t="s">
        <v>164</v>
      </c>
      <c r="E246" s="88" t="s">
        <v>663</v>
      </c>
      <c r="F246" s="151"/>
      <c r="G246" s="89">
        <v>36937</v>
      </c>
      <c r="H246" s="133">
        <v>47894</v>
      </c>
      <c r="I246" s="3"/>
      <c r="J246" s="34" t="s">
        <v>146</v>
      </c>
      <c r="K246" s="40">
        <v>16427.648</v>
      </c>
      <c r="L246" s="21"/>
      <c r="M246" s="47" t="s">
        <v>65</v>
      </c>
      <c r="N246" s="27"/>
      <c r="O246" s="40">
        <f t="shared" si="10"/>
        <v>16427.648</v>
      </c>
      <c r="P246" s="21"/>
    </row>
    <row r="247" spans="2:16" ht="15.75" customHeight="1">
      <c r="B247" s="9" t="s">
        <v>1218</v>
      </c>
      <c r="F247" s="43"/>
      <c r="G247" s="16" t="s">
        <v>66</v>
      </c>
      <c r="H247" s="46" t="s">
        <v>66</v>
      </c>
      <c r="I247" s="3"/>
      <c r="J247" s="34" t="s">
        <v>66</v>
      </c>
      <c r="K247" s="56">
        <f>SUM(K171:K246)</f>
        <v>623386.017</v>
      </c>
      <c r="L247" s="209"/>
      <c r="M247" s="56">
        <f>SUM(M171:M246)</f>
        <v>-67406.3</v>
      </c>
      <c r="N247" s="209"/>
      <c r="O247" s="56">
        <f t="shared" si="10"/>
        <v>555979.717</v>
      </c>
      <c r="P247" s="209"/>
    </row>
    <row r="248" spans="2:16" ht="15.75" customHeight="1">
      <c r="B248" t="s">
        <v>1219</v>
      </c>
      <c r="F248" s="43"/>
      <c r="G248" s="16" t="s">
        <v>66</v>
      </c>
      <c r="H248" s="46" t="s">
        <v>66</v>
      </c>
      <c r="I248" s="3"/>
      <c r="J248" s="34" t="s">
        <v>66</v>
      </c>
      <c r="K248" s="56">
        <v>76.6692</v>
      </c>
      <c r="L248" s="21"/>
      <c r="M248" s="47" t="s">
        <v>65</v>
      </c>
      <c r="N248" s="27"/>
      <c r="O248" s="40">
        <f t="shared" si="10"/>
        <v>76.6692</v>
      </c>
      <c r="P248" s="21"/>
    </row>
    <row r="249" spans="2:16" ht="15.75" customHeight="1" thickBot="1">
      <c r="B249" s="74" t="s">
        <v>557</v>
      </c>
      <c r="F249" s="43"/>
      <c r="G249" s="16" t="s">
        <v>66</v>
      </c>
      <c r="H249" s="46" t="s">
        <v>66</v>
      </c>
      <c r="I249" s="3"/>
      <c r="J249" s="34" t="s">
        <v>66</v>
      </c>
      <c r="K249" s="215">
        <f>+K247+K248</f>
        <v>623462.6862</v>
      </c>
      <c r="L249" s="216"/>
      <c r="M249" s="215">
        <f>+M247+M248</f>
        <v>-67406.3</v>
      </c>
      <c r="N249" s="216"/>
      <c r="O249" s="215">
        <f>+K249+M249</f>
        <v>556056.3862</v>
      </c>
      <c r="P249" s="216"/>
    </row>
    <row r="250" spans="2:16" ht="15.75" customHeight="1" thickTop="1">
      <c r="B250" s="74"/>
      <c r="F250" s="43"/>
      <c r="G250" s="96"/>
      <c r="H250" s="182"/>
      <c r="I250" s="3"/>
      <c r="J250" s="130"/>
      <c r="K250" s="264"/>
      <c r="L250" s="264"/>
      <c r="M250" s="264"/>
      <c r="N250" s="264"/>
      <c r="O250" s="264"/>
      <c r="P250" s="264"/>
    </row>
    <row r="251" spans="2:16" ht="15.75" customHeight="1">
      <c r="B251" s="74"/>
      <c r="F251" s="43"/>
      <c r="G251" s="96"/>
      <c r="H251" s="182"/>
      <c r="I251" s="3"/>
      <c r="J251" s="130"/>
      <c r="K251" s="264"/>
      <c r="L251" s="264"/>
      <c r="M251" s="264"/>
      <c r="N251" s="264"/>
      <c r="O251" s="264"/>
      <c r="P251" s="264"/>
    </row>
    <row r="252" spans="2:16" ht="15.75" customHeight="1">
      <c r="B252" s="74"/>
      <c r="F252" s="43"/>
      <c r="G252" s="96"/>
      <c r="H252" s="182"/>
      <c r="I252" s="3"/>
      <c r="J252" s="130"/>
      <c r="K252" s="264"/>
      <c r="L252" s="264"/>
      <c r="M252" s="264"/>
      <c r="N252" s="264"/>
      <c r="O252" s="264"/>
      <c r="P252" s="264"/>
    </row>
    <row r="253" spans="2:16" ht="15.75" customHeight="1">
      <c r="B253" s="74"/>
      <c r="F253" s="43"/>
      <c r="G253" s="96"/>
      <c r="H253" s="182"/>
      <c r="I253" s="3"/>
      <c r="J253" s="130"/>
      <c r="K253" s="264"/>
      <c r="L253" s="264"/>
      <c r="M253" s="264"/>
      <c r="N253" s="264"/>
      <c r="O253" s="264"/>
      <c r="P253" s="264"/>
    </row>
    <row r="254" spans="2:16" ht="15.75" customHeight="1">
      <c r="B254" s="74"/>
      <c r="F254" s="43"/>
      <c r="G254" s="96"/>
      <c r="H254" s="182"/>
      <c r="I254" s="3"/>
      <c r="J254" s="130"/>
      <c r="K254" s="264"/>
      <c r="L254" s="264"/>
      <c r="M254" s="264"/>
      <c r="N254" s="264"/>
      <c r="O254" s="264"/>
      <c r="P254" s="264"/>
    </row>
    <row r="255" spans="2:16" ht="15.75" customHeight="1">
      <c r="B255" s="74"/>
      <c r="F255" s="43"/>
      <c r="G255" s="96"/>
      <c r="H255" s="182"/>
      <c r="I255" s="3"/>
      <c r="J255" s="130"/>
      <c r="K255" s="264"/>
      <c r="L255" s="264"/>
      <c r="M255" s="264"/>
      <c r="N255" s="264"/>
      <c r="O255" s="264"/>
      <c r="P255" s="264"/>
    </row>
    <row r="256" spans="1:16" ht="15.75" customHeight="1" thickBot="1">
      <c r="A256" s="99"/>
      <c r="B256" s="99"/>
      <c r="C256" s="128"/>
      <c r="D256" s="99"/>
      <c r="E256" s="100"/>
      <c r="F256" s="167"/>
      <c r="G256" s="371"/>
      <c r="H256" s="372"/>
      <c r="I256" s="129"/>
      <c r="J256" s="100"/>
      <c r="K256" s="102"/>
      <c r="L256" s="102"/>
      <c r="M256" s="166"/>
      <c r="N256" s="103"/>
      <c r="O256" s="102"/>
      <c r="P256" s="102"/>
    </row>
    <row r="257" spans="1:16" ht="16.5" thickTop="1">
      <c r="A257" s="93"/>
      <c r="B257" s="2" t="str">
        <f>B86</f>
        <v>TABLE III - DETAIL OF TREASURY SECURITIES OUTSTANDING, JULY 31, 2004 -- Continued</v>
      </c>
      <c r="C257" s="2"/>
      <c r="D257" s="3"/>
      <c r="E257" s="3"/>
      <c r="F257" s="3"/>
      <c r="G257" s="3"/>
      <c r="H257" s="3"/>
      <c r="I257" s="29"/>
      <c r="J257" s="3"/>
      <c r="K257" s="3"/>
      <c r="L257" s="3"/>
      <c r="M257" s="3"/>
      <c r="N257" s="3"/>
      <c r="O257" s="3"/>
      <c r="P257" s="94">
        <v>5</v>
      </c>
    </row>
    <row r="258" spans="1:16" ht="10.5" customHeight="1" thickBot="1">
      <c r="A258" s="2"/>
      <c r="B258" s="2"/>
      <c r="C258" s="2"/>
      <c r="D258" s="3"/>
      <c r="E258" s="3"/>
      <c r="F258" s="3"/>
      <c r="G258" s="3"/>
      <c r="H258" s="3"/>
      <c r="I258" s="29"/>
      <c r="K258" s="3"/>
      <c r="L258" s="3"/>
      <c r="M258" s="3"/>
      <c r="N258" s="3"/>
      <c r="O258" s="3"/>
      <c r="P258" s="2"/>
    </row>
    <row r="259" spans="1:16" ht="15.75" thickTop="1">
      <c r="A259" s="32"/>
      <c r="B259" s="32"/>
      <c r="C259" s="32"/>
      <c r="D259" s="32"/>
      <c r="E259" s="32"/>
      <c r="F259" s="32"/>
      <c r="G259" s="26"/>
      <c r="H259" s="26"/>
      <c r="I259" s="33"/>
      <c r="J259" s="66"/>
      <c r="K259" s="26"/>
      <c r="L259" s="32"/>
      <c r="M259" s="32"/>
      <c r="N259" s="32"/>
      <c r="O259" s="32"/>
      <c r="P259" s="32"/>
    </row>
    <row r="260" spans="7:16" ht="15.75" customHeight="1">
      <c r="G260" s="16" t="s">
        <v>573</v>
      </c>
      <c r="H260" s="16" t="s">
        <v>574</v>
      </c>
      <c r="I260" s="29"/>
      <c r="J260" s="34" t="s">
        <v>575</v>
      </c>
      <c r="K260" s="16" t="s">
        <v>576</v>
      </c>
      <c r="L260" s="3"/>
      <c r="M260" s="3"/>
      <c r="N260" s="3"/>
      <c r="O260" s="3"/>
      <c r="P260" s="3"/>
    </row>
    <row r="261" spans="1:11" ht="15.75" customHeight="1">
      <c r="A261" s="3" t="s">
        <v>577</v>
      </c>
      <c r="B261" s="3"/>
      <c r="C261" s="3"/>
      <c r="D261" s="3"/>
      <c r="E261" s="3"/>
      <c r="F261" s="3"/>
      <c r="G261" s="16" t="s">
        <v>578</v>
      </c>
      <c r="H261" s="16" t="s">
        <v>579</v>
      </c>
      <c r="I261" s="29"/>
      <c r="J261" s="34" t="s">
        <v>580</v>
      </c>
      <c r="K261" s="14"/>
    </row>
    <row r="262" spans="1:16" ht="16.5" customHeight="1">
      <c r="A262" s="15"/>
      <c r="B262" s="15"/>
      <c r="C262" s="15"/>
      <c r="D262" s="15"/>
      <c r="E262" s="15"/>
      <c r="F262" s="15"/>
      <c r="G262" s="35"/>
      <c r="H262" s="35"/>
      <c r="I262" s="36"/>
      <c r="J262" s="61"/>
      <c r="K262" s="37" t="s">
        <v>581</v>
      </c>
      <c r="L262" s="38"/>
      <c r="M262" s="37" t="s">
        <v>60</v>
      </c>
      <c r="N262" s="38"/>
      <c r="O262" s="37" t="s">
        <v>862</v>
      </c>
      <c r="P262" s="38"/>
    </row>
    <row r="263" spans="1:16" ht="15.75" customHeight="1">
      <c r="A263" s="62"/>
      <c r="B263" s="62"/>
      <c r="C263" s="62"/>
      <c r="D263" s="62"/>
      <c r="E263" s="62"/>
      <c r="F263" s="11"/>
      <c r="G263" s="411"/>
      <c r="H263" s="14"/>
      <c r="I263" s="95"/>
      <c r="J263" s="34"/>
      <c r="K263" s="16"/>
      <c r="L263" s="96"/>
      <c r="M263" s="16"/>
      <c r="N263" s="96"/>
      <c r="O263" s="16"/>
      <c r="P263" s="96"/>
    </row>
    <row r="264" spans="1:16" ht="18" customHeight="1">
      <c r="A264" s="60" t="s">
        <v>435</v>
      </c>
      <c r="B264" s="60"/>
      <c r="F264" s="406"/>
      <c r="G264" s="412"/>
      <c r="H264" s="122"/>
      <c r="I264" s="39"/>
      <c r="J264" s="67"/>
      <c r="K264" s="14"/>
      <c r="M264" s="14"/>
      <c r="O264" s="40"/>
      <c r="P264" s="21"/>
    </row>
    <row r="265" spans="2:15" ht="21" customHeight="1">
      <c r="B265" t="s">
        <v>294</v>
      </c>
      <c r="C265" s="43"/>
      <c r="D265" s="64"/>
      <c r="F265" s="151" t="s">
        <v>548</v>
      </c>
      <c r="G265" s="45"/>
      <c r="H265" s="45"/>
      <c r="J265" s="34"/>
      <c r="K265" s="14"/>
      <c r="M265" s="14"/>
      <c r="O265" s="14"/>
    </row>
    <row r="266" spans="2:15" ht="17.25" customHeight="1">
      <c r="B266" s="9" t="s">
        <v>63</v>
      </c>
      <c r="D266" s="3" t="s">
        <v>70</v>
      </c>
      <c r="E266" s="3" t="s">
        <v>71</v>
      </c>
      <c r="F266" s="3"/>
      <c r="G266" s="69"/>
      <c r="I266" s="3"/>
      <c r="J266" s="34"/>
      <c r="K266" s="14"/>
      <c r="M266" s="14"/>
      <c r="O266" s="14"/>
    </row>
    <row r="267" spans="3:16" ht="15.75" customHeight="1">
      <c r="C267" s="43" t="s">
        <v>1120</v>
      </c>
      <c r="D267" s="48" t="s">
        <v>81</v>
      </c>
      <c r="E267" s="88" t="s">
        <v>951</v>
      </c>
      <c r="F267" s="151"/>
      <c r="G267" s="46">
        <v>35467</v>
      </c>
      <c r="H267" s="89">
        <v>39097</v>
      </c>
      <c r="I267" s="86"/>
      <c r="J267" s="34" t="s">
        <v>365</v>
      </c>
      <c r="K267" s="40">
        <v>15757.971</v>
      </c>
      <c r="L267" s="21"/>
      <c r="M267" s="111">
        <v>3046.33095372</v>
      </c>
      <c r="N267" s="27"/>
      <c r="O267" s="40">
        <f aca="true" t="shared" si="11" ref="O267:O274">K267+M267</f>
        <v>18804.301953719998</v>
      </c>
      <c r="P267" s="21"/>
    </row>
    <row r="268" spans="3:16" ht="15.75" customHeight="1">
      <c r="C268" s="43" t="s">
        <v>1217</v>
      </c>
      <c r="D268" s="48" t="s">
        <v>81</v>
      </c>
      <c r="E268" s="88" t="s">
        <v>950</v>
      </c>
      <c r="F268" s="151"/>
      <c r="G268" s="46">
        <v>35810</v>
      </c>
      <c r="H268" s="89">
        <v>39462</v>
      </c>
      <c r="I268" s="86"/>
      <c r="J268" s="34" t="s">
        <v>365</v>
      </c>
      <c r="K268" s="40">
        <v>16811.55</v>
      </c>
      <c r="L268" s="21"/>
      <c r="M268" s="111">
        <v>2862.670734</v>
      </c>
      <c r="N268" s="27"/>
      <c r="O268" s="40">
        <f t="shared" si="11"/>
        <v>19674.220734</v>
      </c>
      <c r="P268" s="21"/>
    </row>
    <row r="269" spans="3:16" ht="15.75" customHeight="1">
      <c r="C269" s="43" t="s">
        <v>528</v>
      </c>
      <c r="D269" s="48" t="s">
        <v>81</v>
      </c>
      <c r="E269" s="88" t="s">
        <v>1004</v>
      </c>
      <c r="F269" s="151"/>
      <c r="G269" s="52">
        <v>36175</v>
      </c>
      <c r="H269" s="89">
        <v>39828</v>
      </c>
      <c r="I269" s="86"/>
      <c r="J269" s="34" t="s">
        <v>365</v>
      </c>
      <c r="K269" s="40">
        <v>15902.397</v>
      </c>
      <c r="L269" s="21"/>
      <c r="M269" s="111">
        <v>2430.3633351</v>
      </c>
      <c r="N269" s="27"/>
      <c r="O269" s="40">
        <f t="shared" si="11"/>
        <v>18332.7603351</v>
      </c>
      <c r="P269" s="21"/>
    </row>
    <row r="270" spans="3:16" ht="15.75" customHeight="1">
      <c r="C270" s="43" t="s">
        <v>1017</v>
      </c>
      <c r="D270" s="48" t="s">
        <v>81</v>
      </c>
      <c r="E270" s="88" t="s">
        <v>669</v>
      </c>
      <c r="F270" s="151"/>
      <c r="G270" s="52">
        <v>36543</v>
      </c>
      <c r="H270" s="89">
        <v>40193</v>
      </c>
      <c r="I270" s="86"/>
      <c r="J270" s="34" t="s">
        <v>365</v>
      </c>
      <c r="K270" s="40">
        <v>11320.963</v>
      </c>
      <c r="L270" s="21"/>
      <c r="M270" s="111">
        <v>1400.85596162</v>
      </c>
      <c r="N270" s="27"/>
      <c r="O270" s="40">
        <f t="shared" si="11"/>
        <v>12721.81896162</v>
      </c>
      <c r="P270" s="21"/>
    </row>
    <row r="271" spans="3:16" ht="15.75" customHeight="1">
      <c r="C271" s="43" t="s">
        <v>954</v>
      </c>
      <c r="D271" s="48" t="s">
        <v>81</v>
      </c>
      <c r="E271" s="88" t="s">
        <v>955</v>
      </c>
      <c r="F271" s="151"/>
      <c r="G271" s="52">
        <v>36907</v>
      </c>
      <c r="H271" s="89">
        <v>40558</v>
      </c>
      <c r="I271" s="3"/>
      <c r="J271" s="34" t="s">
        <v>365</v>
      </c>
      <c r="K271" s="40">
        <v>11001.036</v>
      </c>
      <c r="L271" s="21"/>
      <c r="M271" s="51">
        <v>949.3894068</v>
      </c>
      <c r="N271" s="43"/>
      <c r="O271" s="40">
        <f t="shared" si="11"/>
        <v>11950.425406800001</v>
      </c>
      <c r="P271" s="21"/>
    </row>
    <row r="272" spans="3:16" ht="15.75" customHeight="1">
      <c r="C272" s="43" t="s">
        <v>225</v>
      </c>
      <c r="D272" s="48" t="s">
        <v>81</v>
      </c>
      <c r="E272" s="88" t="s">
        <v>951</v>
      </c>
      <c r="F272" s="151"/>
      <c r="G272" s="52">
        <v>37271</v>
      </c>
      <c r="H272" s="89">
        <v>40923</v>
      </c>
      <c r="I272" s="3"/>
      <c r="J272" s="34" t="s">
        <v>365</v>
      </c>
      <c r="K272" s="40">
        <v>6004.283</v>
      </c>
      <c r="L272" s="21"/>
      <c r="M272" s="51">
        <v>388.89740991</v>
      </c>
      <c r="N272" s="27"/>
      <c r="O272" s="40">
        <f>K272+M272</f>
        <v>6393.18040991</v>
      </c>
      <c r="P272" s="21"/>
    </row>
    <row r="273" spans="3:16" ht="15.75" customHeight="1">
      <c r="C273" s="43" t="s">
        <v>1123</v>
      </c>
      <c r="D273" s="48" t="s">
        <v>651</v>
      </c>
      <c r="E273" s="88">
        <v>3</v>
      </c>
      <c r="F273" s="151"/>
      <c r="G273" s="52">
        <v>37452</v>
      </c>
      <c r="H273" s="89">
        <v>41105</v>
      </c>
      <c r="I273" s="3"/>
      <c r="J273" s="34" t="s">
        <v>77</v>
      </c>
      <c r="K273" s="40">
        <v>23017.701</v>
      </c>
      <c r="L273" s="21"/>
      <c r="M273" s="51">
        <v>1186.10213253</v>
      </c>
      <c r="N273" s="27"/>
      <c r="O273" s="40">
        <f>K273+M273</f>
        <v>24203.80313253</v>
      </c>
      <c r="P273" s="21"/>
    </row>
    <row r="274" spans="3:16" ht="15.75" customHeight="1">
      <c r="C274" s="43" t="s">
        <v>298</v>
      </c>
      <c r="D274" s="48" t="s">
        <v>651</v>
      </c>
      <c r="E274" s="88" t="s">
        <v>28</v>
      </c>
      <c r="F274" s="151"/>
      <c r="G274" s="52">
        <v>37817</v>
      </c>
      <c r="H274" s="89">
        <v>41470</v>
      </c>
      <c r="I274" s="3"/>
      <c r="J274" s="34" t="s">
        <v>77</v>
      </c>
      <c r="K274" s="40">
        <v>20008.319</v>
      </c>
      <c r="L274" s="21"/>
      <c r="M274" s="51">
        <v>588.2445786</v>
      </c>
      <c r="N274" s="27"/>
      <c r="O274" s="40">
        <f t="shared" si="11"/>
        <v>20596.5635786</v>
      </c>
      <c r="P274" s="21"/>
    </row>
    <row r="275" spans="3:16" ht="15.75" customHeight="1">
      <c r="C275" s="43" t="s">
        <v>552</v>
      </c>
      <c r="D275" s="48" t="s">
        <v>81</v>
      </c>
      <c r="E275" s="88">
        <v>2</v>
      </c>
      <c r="F275" s="151"/>
      <c r="G275" s="52">
        <v>38001</v>
      </c>
      <c r="H275" s="89">
        <v>41654</v>
      </c>
      <c r="I275" s="3"/>
      <c r="J275" s="34" t="s">
        <v>365</v>
      </c>
      <c r="K275" s="40">
        <v>21001.562</v>
      </c>
      <c r="L275" s="21"/>
      <c r="M275" s="51">
        <v>487.65626964</v>
      </c>
      <c r="N275" s="27"/>
      <c r="O275" s="40">
        <f aca="true" t="shared" si="12" ref="O275:O281">K275+M275</f>
        <v>21489.21826964</v>
      </c>
      <c r="P275" s="21"/>
    </row>
    <row r="276" spans="3:16" ht="15.75" customHeight="1">
      <c r="C276" s="43" t="s">
        <v>1156</v>
      </c>
      <c r="D276" s="48" t="s">
        <v>660</v>
      </c>
      <c r="E276" s="88">
        <v>2</v>
      </c>
      <c r="F276" s="151"/>
      <c r="G276" s="52">
        <v>38183</v>
      </c>
      <c r="H276" s="89">
        <v>41835</v>
      </c>
      <c r="I276" s="3"/>
      <c r="J276" s="34" t="s">
        <v>77</v>
      </c>
      <c r="K276" s="40">
        <v>10000.536</v>
      </c>
      <c r="L276" s="21"/>
      <c r="M276" s="51">
        <v>30.10161336</v>
      </c>
      <c r="N276" s="27"/>
      <c r="O276" s="40">
        <f t="shared" si="12"/>
        <v>10030.63761336</v>
      </c>
      <c r="P276" s="21"/>
    </row>
    <row r="277" spans="2:16" ht="15.75" customHeight="1">
      <c r="B277" s="85"/>
      <c r="C277" s="43" t="s">
        <v>1159</v>
      </c>
      <c r="D277" s="48"/>
      <c r="E277" s="88" t="s">
        <v>249</v>
      </c>
      <c r="F277" s="151"/>
      <c r="G277" s="46">
        <v>38198</v>
      </c>
      <c r="H277" s="89">
        <v>45672</v>
      </c>
      <c r="I277" s="86"/>
      <c r="J277" s="34" t="s">
        <v>77</v>
      </c>
      <c r="K277" s="40">
        <v>11000.868</v>
      </c>
      <c r="L277" s="21"/>
      <c r="M277" s="111">
        <v>30.58125934</v>
      </c>
      <c r="N277" s="27"/>
      <c r="O277" s="40">
        <f t="shared" si="12"/>
        <v>11031.449259340001</v>
      </c>
      <c r="P277" s="21"/>
    </row>
    <row r="278" spans="2:16" ht="15.75" customHeight="1">
      <c r="B278" s="85"/>
      <c r="C278" s="43" t="s">
        <v>1158</v>
      </c>
      <c r="D278" s="48"/>
      <c r="E278" s="88" t="s">
        <v>950</v>
      </c>
      <c r="F278" s="151"/>
      <c r="G278" s="46">
        <v>35900</v>
      </c>
      <c r="H278" s="89">
        <v>46858</v>
      </c>
      <c r="I278" s="86"/>
      <c r="J278" s="34" t="s">
        <v>149</v>
      </c>
      <c r="K278" s="40">
        <v>16808.478</v>
      </c>
      <c r="L278" s="21"/>
      <c r="M278" s="111">
        <v>2810.40077332</v>
      </c>
      <c r="N278" s="27"/>
      <c r="O278" s="40">
        <f t="shared" si="12"/>
        <v>19618.87877332</v>
      </c>
      <c r="P278" s="21"/>
    </row>
    <row r="279" spans="2:15" ht="15.75" customHeight="1">
      <c r="B279" s="85"/>
      <c r="C279" s="43" t="s">
        <v>533</v>
      </c>
      <c r="D279" s="48"/>
      <c r="E279" s="88" t="s">
        <v>1004</v>
      </c>
      <c r="F279" s="151"/>
      <c r="G279" s="52">
        <v>36265</v>
      </c>
      <c r="H279" s="89">
        <v>47223</v>
      </c>
      <c r="I279" s="86"/>
      <c r="J279" s="34" t="s">
        <v>149</v>
      </c>
      <c r="K279" s="40">
        <v>19722.104</v>
      </c>
      <c r="L279" s="21"/>
      <c r="M279" s="111">
        <v>2700.70038328</v>
      </c>
      <c r="N279" s="27"/>
      <c r="O279" s="40">
        <f t="shared" si="12"/>
        <v>22422.80438328</v>
      </c>
    </row>
    <row r="280" spans="2:15" ht="15.75" customHeight="1">
      <c r="B280" s="85"/>
      <c r="C280" s="43" t="s">
        <v>770</v>
      </c>
      <c r="D280" s="48"/>
      <c r="E280" s="88" t="s">
        <v>951</v>
      </c>
      <c r="F280" s="151"/>
      <c r="G280" s="52">
        <v>37179</v>
      </c>
      <c r="H280" s="89">
        <v>48319</v>
      </c>
      <c r="I280" s="86"/>
      <c r="J280" s="34" t="s">
        <v>636</v>
      </c>
      <c r="K280" s="40">
        <v>5012.235</v>
      </c>
      <c r="L280" s="21"/>
      <c r="M280" s="111">
        <v>326.54711025</v>
      </c>
      <c r="N280" s="27"/>
      <c r="O280" s="40">
        <f t="shared" si="12"/>
        <v>5338.782110249999</v>
      </c>
    </row>
    <row r="281" spans="2:16" s="74" customFormat="1" ht="21" customHeight="1" thickBot="1">
      <c r="B281" s="221" t="s">
        <v>295</v>
      </c>
      <c r="F281" s="222"/>
      <c r="G281" s="223"/>
      <c r="H281" s="224"/>
      <c r="I281" s="75"/>
      <c r="J281" s="225"/>
      <c r="K281" s="226">
        <f>SUM(K267:K280)</f>
        <v>203370.00299999997</v>
      </c>
      <c r="L281" s="216"/>
      <c r="M281" s="226">
        <f>SUM(M267:M280)</f>
        <v>19238.841921470004</v>
      </c>
      <c r="N281" s="219"/>
      <c r="O281" s="215">
        <f t="shared" si="12"/>
        <v>222608.84492146998</v>
      </c>
      <c r="P281" s="216"/>
    </row>
    <row r="282" spans="2:16" ht="15.75" customHeight="1" thickTop="1">
      <c r="B282" s="85"/>
      <c r="F282" s="378"/>
      <c r="G282" s="96"/>
      <c r="H282" s="182"/>
      <c r="I282" s="96"/>
      <c r="J282" s="130"/>
      <c r="K282" s="40"/>
      <c r="L282" s="107"/>
      <c r="M282" s="40"/>
      <c r="N282" s="107"/>
      <c r="O282" s="40"/>
      <c r="P282" s="107"/>
    </row>
    <row r="283" spans="1:16" ht="18" customHeight="1" thickBot="1">
      <c r="A283" s="220" t="s">
        <v>296</v>
      </c>
      <c r="B283" s="220"/>
      <c r="F283" s="70"/>
      <c r="G283" s="49"/>
      <c r="H283" s="49"/>
      <c r="I283" s="8"/>
      <c r="J283" s="50"/>
      <c r="K283" s="110">
        <f>+K281+K249+K154+K56</f>
        <v>3856642.9738</v>
      </c>
      <c r="L283" s="127"/>
      <c r="M283" s="110">
        <f>+M281+M249+M154+M56</f>
        <v>-48167.45807853</v>
      </c>
      <c r="N283" s="127"/>
      <c r="O283" s="110">
        <f>+O281+O249+O154+O56</f>
        <v>3808475.5157214697</v>
      </c>
      <c r="P283" s="126"/>
    </row>
    <row r="284" spans="6:16" ht="15.75" customHeight="1" thickTop="1">
      <c r="F284" s="112"/>
      <c r="G284" s="113"/>
      <c r="H284" s="113"/>
      <c r="I284" s="8"/>
      <c r="J284" s="114"/>
      <c r="K284" s="115"/>
      <c r="L284" s="116"/>
      <c r="M284" s="115"/>
      <c r="N284" s="116"/>
      <c r="O284" s="115"/>
      <c r="P284" s="117"/>
    </row>
    <row r="285" spans="6:16" ht="15.75" customHeight="1">
      <c r="F285" s="112"/>
      <c r="G285" s="113"/>
      <c r="H285" s="113"/>
      <c r="I285" s="8"/>
      <c r="J285" s="114"/>
      <c r="K285" s="115"/>
      <c r="L285" s="116"/>
      <c r="M285" s="115"/>
      <c r="N285" s="116"/>
      <c r="O285" s="115"/>
      <c r="P285" s="117"/>
    </row>
    <row r="286" spans="6:16" ht="15.75" customHeight="1">
      <c r="F286" s="112"/>
      <c r="G286" s="113"/>
      <c r="H286" s="113"/>
      <c r="I286" s="8"/>
      <c r="J286" s="114"/>
      <c r="K286" s="115"/>
      <c r="L286" s="116"/>
      <c r="M286" s="115"/>
      <c r="N286" s="116"/>
      <c r="O286" s="115"/>
      <c r="P286" s="117"/>
    </row>
    <row r="287" spans="6:16" ht="15.75" customHeight="1">
      <c r="F287" s="112"/>
      <c r="G287" s="113"/>
      <c r="H287" s="113"/>
      <c r="I287" s="8"/>
      <c r="J287" s="114"/>
      <c r="K287" s="115"/>
      <c r="L287" s="116"/>
      <c r="M287" s="115"/>
      <c r="N287" s="116"/>
      <c r="O287" s="115"/>
      <c r="P287" s="117"/>
    </row>
    <row r="288" spans="6:16" ht="15.75" customHeight="1">
      <c r="F288" s="112"/>
      <c r="G288" s="113"/>
      <c r="H288" s="113"/>
      <c r="I288" s="8"/>
      <c r="J288" s="114"/>
      <c r="K288" s="115"/>
      <c r="L288" s="116"/>
      <c r="M288" s="115"/>
      <c r="N288" s="116"/>
      <c r="O288" s="115"/>
      <c r="P288" s="117"/>
    </row>
    <row r="289" spans="6:16" ht="15.75" customHeight="1">
      <c r="F289" s="112"/>
      <c r="G289" s="113"/>
      <c r="H289" s="113"/>
      <c r="I289" s="8"/>
      <c r="J289" s="114"/>
      <c r="K289" s="115"/>
      <c r="L289" s="116"/>
      <c r="M289" s="115"/>
      <c r="N289" s="116"/>
      <c r="O289" s="115"/>
      <c r="P289" s="117"/>
    </row>
    <row r="290" spans="6:16" ht="15.75" customHeight="1">
      <c r="F290" s="112"/>
      <c r="G290" s="113"/>
      <c r="H290" s="113"/>
      <c r="I290" s="8"/>
      <c r="J290" s="114"/>
      <c r="K290" s="115"/>
      <c r="L290" s="116"/>
      <c r="M290" s="115"/>
      <c r="N290" s="116"/>
      <c r="O290" s="115"/>
      <c r="P290" s="117"/>
    </row>
    <row r="291" spans="6:16" ht="15.75" customHeight="1">
      <c r="F291" s="112"/>
      <c r="G291" s="113"/>
      <c r="H291" s="113"/>
      <c r="I291" s="8"/>
      <c r="J291" s="114"/>
      <c r="K291" s="115"/>
      <c r="L291" s="116"/>
      <c r="M291" s="115"/>
      <c r="N291" s="116"/>
      <c r="O291" s="115"/>
      <c r="P291" s="117"/>
    </row>
    <row r="292" spans="6:16" ht="15.75" customHeight="1">
      <c r="F292" s="112"/>
      <c r="G292" s="113"/>
      <c r="H292" s="113"/>
      <c r="I292" s="8"/>
      <c r="J292" s="114"/>
      <c r="K292" s="115"/>
      <c r="L292" s="116"/>
      <c r="M292" s="115"/>
      <c r="N292" s="116"/>
      <c r="O292" s="115"/>
      <c r="P292" s="117"/>
    </row>
    <row r="293" spans="6:16" ht="15.75" customHeight="1">
      <c r="F293" s="112"/>
      <c r="G293" s="113"/>
      <c r="H293" s="113"/>
      <c r="I293" s="8"/>
      <c r="J293" s="114"/>
      <c r="K293" s="115"/>
      <c r="L293" s="116"/>
      <c r="M293" s="115"/>
      <c r="N293" s="116"/>
      <c r="O293" s="115"/>
      <c r="P293" s="117"/>
    </row>
    <row r="294" spans="6:16" ht="15.75" customHeight="1">
      <c r="F294" s="112"/>
      <c r="G294" s="113"/>
      <c r="H294" s="113"/>
      <c r="I294" s="8"/>
      <c r="J294" s="114"/>
      <c r="K294" s="115"/>
      <c r="L294" s="116"/>
      <c r="M294" s="115"/>
      <c r="N294" s="116"/>
      <c r="O294" s="115"/>
      <c r="P294" s="117"/>
    </row>
    <row r="295" spans="6:16" ht="15.75" customHeight="1">
      <c r="F295" s="112"/>
      <c r="G295" s="113"/>
      <c r="H295" s="113"/>
      <c r="I295" s="8"/>
      <c r="J295" s="114"/>
      <c r="K295" s="115"/>
      <c r="L295" s="116"/>
      <c r="M295" s="115"/>
      <c r="N295" s="116"/>
      <c r="O295" s="115"/>
      <c r="P295" s="117"/>
    </row>
    <row r="296" spans="6:16" ht="15.75" customHeight="1">
      <c r="F296" s="112"/>
      <c r="G296" s="113"/>
      <c r="H296" s="113"/>
      <c r="I296" s="8"/>
      <c r="J296" s="114"/>
      <c r="K296" s="115"/>
      <c r="L296" s="116"/>
      <c r="M296" s="115"/>
      <c r="N296" s="116"/>
      <c r="O296" s="115"/>
      <c r="P296" s="117"/>
    </row>
    <row r="297" spans="6:16" ht="15.75" customHeight="1">
      <c r="F297" s="112"/>
      <c r="G297" s="113"/>
      <c r="H297" s="113"/>
      <c r="I297" s="8"/>
      <c r="J297" s="114"/>
      <c r="K297" s="115"/>
      <c r="L297" s="116"/>
      <c r="M297" s="115"/>
      <c r="N297" s="116"/>
      <c r="O297" s="115"/>
      <c r="P297" s="117"/>
    </row>
    <row r="298" spans="6:16" ht="15.75" customHeight="1">
      <c r="F298" s="112"/>
      <c r="G298" s="113"/>
      <c r="H298" s="113"/>
      <c r="I298" s="8"/>
      <c r="J298" s="114"/>
      <c r="K298" s="115"/>
      <c r="L298" s="116"/>
      <c r="M298" s="115"/>
      <c r="N298" s="116"/>
      <c r="O298" s="115"/>
      <c r="P298" s="117"/>
    </row>
    <row r="299" spans="6:16" ht="15.75" customHeight="1">
      <c r="F299" s="112"/>
      <c r="G299" s="113"/>
      <c r="H299" s="113"/>
      <c r="I299" s="8"/>
      <c r="J299" s="114"/>
      <c r="K299" s="115"/>
      <c r="L299" s="116"/>
      <c r="M299" s="115"/>
      <c r="N299" s="116"/>
      <c r="O299" s="115"/>
      <c r="P299" s="117"/>
    </row>
    <row r="300" spans="6:16" ht="15.75" customHeight="1">
      <c r="F300" s="112"/>
      <c r="G300" s="113"/>
      <c r="H300" s="113"/>
      <c r="I300" s="8"/>
      <c r="J300" s="114"/>
      <c r="K300" s="115"/>
      <c r="L300" s="116"/>
      <c r="M300" s="115"/>
      <c r="N300" s="116"/>
      <c r="O300" s="115"/>
      <c r="P300" s="117"/>
    </row>
    <row r="301" spans="6:16" ht="15.75" customHeight="1">
      <c r="F301" s="112"/>
      <c r="G301" s="113"/>
      <c r="H301" s="113"/>
      <c r="I301" s="8"/>
      <c r="J301" s="114"/>
      <c r="K301" s="115"/>
      <c r="L301" s="116"/>
      <c r="M301" s="115"/>
      <c r="N301" s="116"/>
      <c r="O301" s="115"/>
      <c r="P301" s="117"/>
    </row>
    <row r="302" spans="6:16" ht="15.75" customHeight="1">
      <c r="F302" s="112"/>
      <c r="G302" s="113"/>
      <c r="H302" s="113"/>
      <c r="I302" s="8"/>
      <c r="J302" s="114"/>
      <c r="K302" s="115"/>
      <c r="L302" s="116"/>
      <c r="M302" s="115"/>
      <c r="N302" s="116"/>
      <c r="O302" s="115"/>
      <c r="P302" s="117"/>
    </row>
    <row r="303" spans="6:16" ht="15.75" customHeight="1">
      <c r="F303" s="112"/>
      <c r="G303" s="113"/>
      <c r="H303" s="113"/>
      <c r="I303" s="8"/>
      <c r="J303" s="114"/>
      <c r="K303" s="115"/>
      <c r="L303" s="116"/>
      <c r="M303" s="115"/>
      <c r="N303" s="116"/>
      <c r="O303" s="115"/>
      <c r="P303" s="117"/>
    </row>
    <row r="304" spans="6:16" ht="15.75" customHeight="1">
      <c r="F304" s="112"/>
      <c r="G304" s="113"/>
      <c r="H304" s="113"/>
      <c r="I304" s="8"/>
      <c r="J304" s="114"/>
      <c r="K304" s="115"/>
      <c r="L304" s="116"/>
      <c r="M304" s="115"/>
      <c r="N304" s="116"/>
      <c r="O304" s="115"/>
      <c r="P304" s="117"/>
    </row>
    <row r="305" spans="6:16" ht="15.75" customHeight="1">
      <c r="F305" s="112"/>
      <c r="G305" s="113"/>
      <c r="H305" s="113"/>
      <c r="I305" s="8"/>
      <c r="J305" s="114"/>
      <c r="K305" s="115"/>
      <c r="L305" s="116"/>
      <c r="M305" s="115"/>
      <c r="N305" s="116"/>
      <c r="O305" s="115"/>
      <c r="P305" s="117"/>
    </row>
    <row r="306" spans="6:16" ht="15.75" customHeight="1">
      <c r="F306" s="112"/>
      <c r="G306" s="113"/>
      <c r="H306" s="113"/>
      <c r="I306" s="8"/>
      <c r="J306" s="114"/>
      <c r="K306" s="115"/>
      <c r="L306" s="116"/>
      <c r="M306" s="115"/>
      <c r="N306" s="116"/>
      <c r="O306" s="115"/>
      <c r="P306" s="117"/>
    </row>
    <row r="307" spans="6:16" ht="15.75" customHeight="1">
      <c r="F307" s="112"/>
      <c r="G307" s="113"/>
      <c r="H307" s="113"/>
      <c r="I307" s="8"/>
      <c r="J307" s="114"/>
      <c r="K307" s="115"/>
      <c r="L307" s="116"/>
      <c r="M307" s="115"/>
      <c r="N307" s="116"/>
      <c r="O307" s="115"/>
      <c r="P307" s="117"/>
    </row>
    <row r="308" spans="6:16" ht="15.75" customHeight="1">
      <c r="F308" s="112"/>
      <c r="G308" s="113"/>
      <c r="H308" s="113"/>
      <c r="I308" s="8"/>
      <c r="J308" s="114"/>
      <c r="K308" s="115"/>
      <c r="L308" s="116"/>
      <c r="M308" s="115"/>
      <c r="N308" s="116"/>
      <c r="O308" s="115"/>
      <c r="P308" s="117"/>
    </row>
    <row r="309" spans="6:16" ht="15.75" customHeight="1">
      <c r="F309" s="112"/>
      <c r="G309" s="113"/>
      <c r="H309" s="113"/>
      <c r="I309" s="8"/>
      <c r="J309" s="114"/>
      <c r="K309" s="115"/>
      <c r="L309" s="116"/>
      <c r="M309" s="115"/>
      <c r="N309" s="116"/>
      <c r="O309" s="115"/>
      <c r="P309" s="117"/>
    </row>
    <row r="310" spans="6:16" ht="15.75" customHeight="1">
      <c r="F310" s="112"/>
      <c r="G310" s="113"/>
      <c r="H310" s="113"/>
      <c r="I310" s="8"/>
      <c r="J310" s="114"/>
      <c r="K310" s="115"/>
      <c r="L310" s="116"/>
      <c r="M310" s="115"/>
      <c r="N310" s="116"/>
      <c r="O310" s="115"/>
      <c r="P310" s="117"/>
    </row>
    <row r="311" spans="6:16" ht="15.75" customHeight="1">
      <c r="F311" s="112"/>
      <c r="G311" s="113"/>
      <c r="H311" s="113"/>
      <c r="I311" s="8"/>
      <c r="J311" s="114"/>
      <c r="K311" s="115"/>
      <c r="L311" s="116"/>
      <c r="M311" s="115"/>
      <c r="N311" s="116"/>
      <c r="O311" s="115"/>
      <c r="P311" s="117"/>
    </row>
    <row r="312" spans="6:16" ht="15.75" customHeight="1">
      <c r="F312" s="112"/>
      <c r="G312" s="113"/>
      <c r="H312" s="113"/>
      <c r="I312" s="8"/>
      <c r="J312" s="114"/>
      <c r="K312" s="115"/>
      <c r="L312" s="116"/>
      <c r="M312" s="115"/>
      <c r="N312" s="116"/>
      <c r="O312" s="115"/>
      <c r="P312" s="117"/>
    </row>
    <row r="313" spans="6:16" ht="15.75" customHeight="1">
      <c r="F313" s="112"/>
      <c r="G313" s="113"/>
      <c r="H313" s="113"/>
      <c r="I313" s="8"/>
      <c r="J313" s="114"/>
      <c r="K313" s="115"/>
      <c r="L313" s="116"/>
      <c r="M313" s="115"/>
      <c r="N313" s="116"/>
      <c r="O313" s="115"/>
      <c r="P313" s="117"/>
    </row>
    <row r="314" spans="6:16" ht="15.75" customHeight="1">
      <c r="F314" s="112"/>
      <c r="G314" s="113"/>
      <c r="H314" s="113"/>
      <c r="I314" s="8"/>
      <c r="J314" s="114"/>
      <c r="K314" s="115"/>
      <c r="L314" s="116"/>
      <c r="M314" s="115"/>
      <c r="N314" s="116"/>
      <c r="O314" s="115"/>
      <c r="P314" s="117"/>
    </row>
    <row r="315" spans="6:16" ht="15.75" customHeight="1">
      <c r="F315" s="112"/>
      <c r="G315" s="113"/>
      <c r="H315" s="113"/>
      <c r="I315" s="8"/>
      <c r="J315" s="114"/>
      <c r="K315" s="115"/>
      <c r="L315" s="116"/>
      <c r="M315" s="115"/>
      <c r="N315" s="116"/>
      <c r="O315" s="115"/>
      <c r="P315" s="117"/>
    </row>
    <row r="316" spans="6:16" ht="15.75" customHeight="1">
      <c r="F316" s="112"/>
      <c r="G316" s="113"/>
      <c r="H316" s="113"/>
      <c r="I316" s="8"/>
      <c r="J316" s="114"/>
      <c r="K316" s="115"/>
      <c r="L316" s="116"/>
      <c r="M316" s="115"/>
      <c r="N316" s="116"/>
      <c r="O316" s="115"/>
      <c r="P316" s="117"/>
    </row>
    <row r="317" spans="6:16" ht="15.75" customHeight="1">
      <c r="F317" s="112"/>
      <c r="G317" s="113"/>
      <c r="H317" s="113"/>
      <c r="I317" s="8"/>
      <c r="J317" s="114"/>
      <c r="K317" s="115"/>
      <c r="L317" s="116"/>
      <c r="M317" s="115"/>
      <c r="N317" s="116"/>
      <c r="O317" s="115"/>
      <c r="P317" s="117"/>
    </row>
    <row r="318" spans="6:16" ht="15.75" customHeight="1">
      <c r="F318" s="112"/>
      <c r="G318" s="113"/>
      <c r="H318" s="113"/>
      <c r="I318" s="8"/>
      <c r="J318" s="114"/>
      <c r="K318" s="115"/>
      <c r="L318" s="116"/>
      <c r="M318" s="115"/>
      <c r="N318" s="116"/>
      <c r="O318" s="115"/>
      <c r="P318" s="117"/>
    </row>
    <row r="319" spans="6:16" ht="15.75" customHeight="1">
      <c r="F319" s="112"/>
      <c r="G319" s="113"/>
      <c r="H319" s="113"/>
      <c r="I319" s="8"/>
      <c r="J319" s="114"/>
      <c r="K319" s="115"/>
      <c r="L319" s="116"/>
      <c r="M319" s="115"/>
      <c r="N319" s="116"/>
      <c r="O319" s="115"/>
      <c r="P319" s="117"/>
    </row>
    <row r="320" spans="6:16" ht="15.75" customHeight="1">
      <c r="F320" s="112"/>
      <c r="G320" s="113"/>
      <c r="H320" s="113"/>
      <c r="I320" s="8"/>
      <c r="J320" s="114"/>
      <c r="K320" s="115"/>
      <c r="L320" s="116"/>
      <c r="M320" s="115"/>
      <c r="N320" s="116"/>
      <c r="O320" s="115"/>
      <c r="P320" s="117"/>
    </row>
    <row r="321" spans="6:16" ht="15.75" customHeight="1">
      <c r="F321" s="112"/>
      <c r="G321" s="113"/>
      <c r="H321" s="113"/>
      <c r="I321" s="8"/>
      <c r="J321" s="114"/>
      <c r="K321" s="115"/>
      <c r="L321" s="116"/>
      <c r="M321" s="115"/>
      <c r="N321" s="116"/>
      <c r="O321" s="115"/>
      <c r="P321" s="117"/>
    </row>
    <row r="322" spans="6:16" ht="15.75" customHeight="1">
      <c r="F322" s="112"/>
      <c r="G322" s="113"/>
      <c r="H322" s="113"/>
      <c r="I322" s="8"/>
      <c r="J322" s="114"/>
      <c r="K322" s="115"/>
      <c r="L322" s="116"/>
      <c r="M322" s="115"/>
      <c r="N322" s="116"/>
      <c r="O322" s="115"/>
      <c r="P322" s="117"/>
    </row>
    <row r="323" spans="6:16" ht="15.75" customHeight="1">
      <c r="F323" s="112"/>
      <c r="G323" s="113"/>
      <c r="H323" s="113"/>
      <c r="I323" s="8"/>
      <c r="J323" s="114"/>
      <c r="K323" s="115"/>
      <c r="L323" s="116"/>
      <c r="M323" s="115"/>
      <c r="N323" s="116"/>
      <c r="O323" s="115"/>
      <c r="P323" s="117"/>
    </row>
    <row r="324" spans="6:16" ht="15.75" customHeight="1">
      <c r="F324" s="112"/>
      <c r="G324" s="113"/>
      <c r="H324" s="113"/>
      <c r="I324" s="8"/>
      <c r="J324" s="114"/>
      <c r="K324" s="115"/>
      <c r="L324" s="116"/>
      <c r="M324" s="115"/>
      <c r="N324" s="116"/>
      <c r="O324" s="115"/>
      <c r="P324" s="117"/>
    </row>
    <row r="325" spans="6:16" ht="15.75" customHeight="1">
      <c r="F325" s="112"/>
      <c r="G325" s="113"/>
      <c r="H325" s="113"/>
      <c r="I325" s="8"/>
      <c r="J325" s="114"/>
      <c r="K325" s="115"/>
      <c r="L325" s="116"/>
      <c r="M325" s="115"/>
      <c r="N325" s="116"/>
      <c r="O325" s="115"/>
      <c r="P325" s="117"/>
    </row>
    <row r="326" spans="6:16" ht="15.75" customHeight="1">
      <c r="F326" s="112"/>
      <c r="G326" s="113"/>
      <c r="H326" s="113"/>
      <c r="I326" s="8"/>
      <c r="J326" s="114"/>
      <c r="K326" s="115"/>
      <c r="L326" s="116"/>
      <c r="M326" s="115"/>
      <c r="N326" s="116"/>
      <c r="O326" s="115"/>
      <c r="P326" s="117"/>
    </row>
    <row r="327" spans="6:16" ht="15.75" customHeight="1">
      <c r="F327" s="112"/>
      <c r="G327" s="113"/>
      <c r="H327" s="113"/>
      <c r="I327" s="8"/>
      <c r="J327" s="114"/>
      <c r="K327" s="115"/>
      <c r="L327" s="116"/>
      <c r="M327" s="115"/>
      <c r="N327" s="116"/>
      <c r="O327" s="115"/>
      <c r="P327" s="117"/>
    </row>
    <row r="328" spans="6:16" ht="15.75" customHeight="1">
      <c r="F328" s="112"/>
      <c r="G328" s="113"/>
      <c r="H328" s="113"/>
      <c r="I328" s="8"/>
      <c r="J328" s="114"/>
      <c r="K328" s="115"/>
      <c r="L328" s="116"/>
      <c r="M328" s="115"/>
      <c r="N328" s="116"/>
      <c r="O328" s="115"/>
      <c r="P328" s="117"/>
    </row>
    <row r="329" spans="6:16" ht="15.75" customHeight="1">
      <c r="F329" s="112"/>
      <c r="G329" s="113"/>
      <c r="H329" s="113"/>
      <c r="I329" s="8"/>
      <c r="J329" s="114"/>
      <c r="K329" s="115"/>
      <c r="L329" s="116"/>
      <c r="M329" s="115"/>
      <c r="N329" s="116"/>
      <c r="O329" s="115"/>
      <c r="P329" s="117"/>
    </row>
    <row r="330" spans="6:16" ht="15.75" customHeight="1">
      <c r="F330" s="112"/>
      <c r="G330" s="113"/>
      <c r="H330" s="113"/>
      <c r="I330" s="8"/>
      <c r="J330" s="114"/>
      <c r="K330" s="115"/>
      <c r="L330" s="116"/>
      <c r="M330" s="115"/>
      <c r="N330" s="116"/>
      <c r="O330" s="115"/>
      <c r="P330" s="117"/>
    </row>
    <row r="331" spans="6:16" ht="15.75" customHeight="1">
      <c r="F331" s="112"/>
      <c r="G331" s="113"/>
      <c r="H331" s="113"/>
      <c r="I331" s="8"/>
      <c r="J331" s="114"/>
      <c r="K331" s="115"/>
      <c r="L331" s="116"/>
      <c r="M331" s="115"/>
      <c r="N331" s="116"/>
      <c r="O331" s="115"/>
      <c r="P331" s="117"/>
    </row>
    <row r="332" spans="6:16" ht="15.75" customHeight="1">
      <c r="F332" s="112"/>
      <c r="G332" s="113"/>
      <c r="H332" s="113"/>
      <c r="I332" s="8"/>
      <c r="J332" s="114"/>
      <c r="K332" s="115"/>
      <c r="L332" s="116"/>
      <c r="M332" s="115"/>
      <c r="N332" s="116"/>
      <c r="O332" s="115"/>
      <c r="P332" s="117"/>
    </row>
    <row r="333" spans="6:16" ht="15.75" customHeight="1">
      <c r="F333" s="112"/>
      <c r="G333" s="113"/>
      <c r="H333" s="113"/>
      <c r="I333" s="8"/>
      <c r="J333" s="114"/>
      <c r="K333" s="115"/>
      <c r="L333" s="116"/>
      <c r="M333" s="115"/>
      <c r="N333" s="116"/>
      <c r="O333" s="115"/>
      <c r="P333" s="117"/>
    </row>
    <row r="334" spans="6:16" ht="15.75" customHeight="1">
      <c r="F334" s="112"/>
      <c r="G334" s="113"/>
      <c r="H334" s="113"/>
      <c r="I334" s="8"/>
      <c r="J334" s="114"/>
      <c r="K334" s="115"/>
      <c r="L334" s="116"/>
      <c r="M334" s="115"/>
      <c r="N334" s="116"/>
      <c r="O334" s="115"/>
      <c r="P334" s="117"/>
    </row>
    <row r="335" spans="6:16" ht="15.75" customHeight="1">
      <c r="F335" s="112"/>
      <c r="G335" s="113"/>
      <c r="H335" s="113"/>
      <c r="I335" s="8"/>
      <c r="J335" s="114"/>
      <c r="K335" s="115"/>
      <c r="L335" s="116"/>
      <c r="M335" s="115"/>
      <c r="N335" s="116"/>
      <c r="O335" s="115"/>
      <c r="P335" s="117"/>
    </row>
    <row r="336" spans="6:16" ht="15.75" customHeight="1">
      <c r="F336" s="112"/>
      <c r="G336" s="113"/>
      <c r="H336" s="113"/>
      <c r="I336" s="8"/>
      <c r="J336" s="114"/>
      <c r="K336" s="115"/>
      <c r="L336" s="116"/>
      <c r="M336" s="115"/>
      <c r="N336" s="116"/>
      <c r="O336" s="115"/>
      <c r="P336" s="117"/>
    </row>
    <row r="337" spans="6:16" ht="15.75" customHeight="1">
      <c r="F337" s="112"/>
      <c r="G337" s="113"/>
      <c r="H337" s="113"/>
      <c r="I337" s="8"/>
      <c r="J337" s="114"/>
      <c r="K337" s="115"/>
      <c r="L337" s="116"/>
      <c r="M337" s="115"/>
      <c r="N337" s="116"/>
      <c r="O337" s="115"/>
      <c r="P337" s="117"/>
    </row>
    <row r="338" spans="6:16" ht="15.75" customHeight="1">
      <c r="F338" s="112"/>
      <c r="G338" s="113"/>
      <c r="H338" s="113"/>
      <c r="I338" s="8"/>
      <c r="J338" s="114"/>
      <c r="K338" s="115"/>
      <c r="L338" s="116"/>
      <c r="M338" s="115"/>
      <c r="N338" s="116"/>
      <c r="O338" s="115"/>
      <c r="P338" s="117"/>
    </row>
    <row r="339" spans="6:16" ht="15.75" customHeight="1">
      <c r="F339" s="112"/>
      <c r="G339" s="113"/>
      <c r="H339" s="113"/>
      <c r="I339" s="8"/>
      <c r="J339" s="114"/>
      <c r="K339" s="115"/>
      <c r="L339" s="116"/>
      <c r="M339" s="115"/>
      <c r="N339" s="116"/>
      <c r="O339" s="115"/>
      <c r="P339" s="117"/>
    </row>
    <row r="340" spans="6:16" ht="15.75" customHeight="1">
      <c r="F340" s="112"/>
      <c r="G340" s="113"/>
      <c r="H340" s="113"/>
      <c r="I340" s="8"/>
      <c r="J340" s="114"/>
      <c r="K340" s="115"/>
      <c r="L340" s="116"/>
      <c r="M340" s="115"/>
      <c r="N340" s="116"/>
      <c r="O340" s="115"/>
      <c r="P340" s="117"/>
    </row>
    <row r="341" spans="6:16" s="99" customFormat="1" ht="15.75" customHeight="1" thickBot="1">
      <c r="F341" s="168"/>
      <c r="G341" s="169"/>
      <c r="H341" s="169"/>
      <c r="I341" s="170"/>
      <c r="J341" s="171"/>
      <c r="K341" s="172"/>
      <c r="L341" s="173"/>
      <c r="M341" s="172"/>
      <c r="N341" s="173"/>
      <c r="O341" s="172"/>
      <c r="P341" s="121"/>
    </row>
    <row r="342" spans="6:16" s="62" customFormat="1" ht="15.75" customHeight="1" thickTop="1">
      <c r="F342" s="112"/>
      <c r="G342" s="113"/>
      <c r="H342" s="113"/>
      <c r="I342" s="402"/>
      <c r="J342" s="114"/>
      <c r="K342" s="115"/>
      <c r="L342" s="116"/>
      <c r="M342" s="115"/>
      <c r="N342" s="116"/>
      <c r="O342" s="115"/>
      <c r="P342" s="117"/>
    </row>
    <row r="343" ht="15">
      <c r="I343" s="31"/>
    </row>
    <row r="344" ht="16.5" customHeight="1">
      <c r="I344" s="31"/>
    </row>
    <row r="345" ht="15">
      <c r="I345" s="31"/>
    </row>
    <row r="346" ht="15">
      <c r="I346" s="31"/>
    </row>
    <row r="347" ht="15">
      <c r="I347" s="31"/>
    </row>
  </sheetData>
  <printOptions horizontalCentered="1"/>
  <pageMargins left="0" right="0" top="0.4" bottom="0.25" header="0" footer="0"/>
  <pageSetup fitToHeight="4" horizontalDpi="300" verticalDpi="300" orientation="portrait" scale="53" r:id="rId1"/>
  <rowBreaks count="4" manualBreakCount="4">
    <brk id="85" max="16" man="1"/>
    <brk id="170" max="16" man="1"/>
    <brk id="256" max="16" man="1"/>
    <brk id="34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T79"/>
  <sheetViews>
    <sheetView showGridLines="0" view="pageBreakPreview" zoomScale="75" zoomScaleNormal="75" zoomScaleSheetLayoutView="75" workbookViewId="0" topLeftCell="A1">
      <selection activeCell="A23" sqref="A23"/>
    </sheetView>
  </sheetViews>
  <sheetFormatPr defaultColWidth="9.77734375" defaultRowHeight="15"/>
  <cols>
    <col min="1" max="3" width="2.77734375" style="0" customWidth="1"/>
    <col min="4" max="4" width="8.77734375" style="0" customWidth="1"/>
    <col min="5" max="5" width="15.77734375" style="0" customWidth="1"/>
    <col min="6" max="6" width="3.7773437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2.77734375" style="0" customWidth="1"/>
    <col min="11" max="11" width="13.777343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6.77734375" style="0" customWidth="1"/>
    <col min="18" max="18" width="6.10546875" style="0" customWidth="1"/>
    <col min="19" max="19" width="12.21484375" style="0" bestFit="1" customWidth="1"/>
  </cols>
  <sheetData>
    <row r="1" spans="1:16" ht="16.5" customHeight="1">
      <c r="A1" s="7">
        <v>6</v>
      </c>
      <c r="B1" s="2" t="str">
        <f>(Marketable!B86)</f>
        <v>TABLE III - DETAIL OF TREASURY SECURITIES OUTSTANDING, JULY 31, 2004 -- Continued</v>
      </c>
      <c r="C1" s="2"/>
      <c r="D1" s="2"/>
      <c r="E1" s="3"/>
      <c r="F1" s="3"/>
      <c r="G1" s="3"/>
      <c r="H1" s="3"/>
      <c r="I1" s="29"/>
      <c r="J1" s="3"/>
      <c r="K1" s="3"/>
      <c r="L1" s="3"/>
      <c r="M1" s="3"/>
      <c r="N1" s="3"/>
      <c r="O1" s="3"/>
      <c r="P1" s="2"/>
    </row>
    <row r="2" spans="1:16" ht="10.5" customHeight="1" thickBot="1">
      <c r="A2" s="7"/>
      <c r="B2" s="7"/>
      <c r="C2" s="7"/>
      <c r="D2" s="2"/>
      <c r="E2" s="3"/>
      <c r="F2" s="3"/>
      <c r="G2" s="3"/>
      <c r="H2" s="3"/>
      <c r="I2" s="29"/>
      <c r="J2" s="3"/>
      <c r="K2" s="3"/>
      <c r="L2" s="3"/>
      <c r="M2" s="3"/>
      <c r="N2" s="3"/>
      <c r="O2" s="3"/>
      <c r="P2" s="2"/>
    </row>
    <row r="3" spans="1:16" ht="15.75" thickTop="1">
      <c r="A3" s="32"/>
      <c r="B3" s="32"/>
      <c r="C3" s="32"/>
      <c r="D3" s="32"/>
      <c r="E3" s="32"/>
      <c r="F3" s="32"/>
      <c r="G3" s="26"/>
      <c r="H3" s="26"/>
      <c r="I3" s="33"/>
      <c r="J3" s="26"/>
      <c r="K3" s="26"/>
      <c r="L3" s="32"/>
      <c r="M3" s="32"/>
      <c r="N3" s="32"/>
      <c r="O3" s="32"/>
      <c r="P3" s="32"/>
    </row>
    <row r="4" spans="7:16" ht="15.75" customHeight="1">
      <c r="G4" s="16" t="s">
        <v>573</v>
      </c>
      <c r="H4" s="16" t="s">
        <v>574</v>
      </c>
      <c r="I4" s="29"/>
      <c r="J4" s="34" t="s">
        <v>575</v>
      </c>
      <c r="K4" s="16" t="s">
        <v>576</v>
      </c>
      <c r="L4" s="3"/>
      <c r="M4" s="3"/>
      <c r="N4" s="3"/>
      <c r="O4" s="3"/>
      <c r="P4" s="3"/>
    </row>
    <row r="5" spans="1:11" ht="15.75" customHeight="1">
      <c r="A5" s="3" t="s">
        <v>577</v>
      </c>
      <c r="B5" s="3"/>
      <c r="C5" s="3"/>
      <c r="D5" s="3"/>
      <c r="E5" s="3"/>
      <c r="F5" s="3"/>
      <c r="G5" s="16" t="s">
        <v>578</v>
      </c>
      <c r="H5" s="16" t="s">
        <v>579</v>
      </c>
      <c r="I5" s="29"/>
      <c r="J5" s="34" t="s">
        <v>580</v>
      </c>
      <c r="K5" s="14"/>
    </row>
    <row r="6" spans="1:16" ht="16.5" customHeight="1">
      <c r="A6" s="15"/>
      <c r="B6" s="15"/>
      <c r="C6" s="15"/>
      <c r="D6" s="15"/>
      <c r="E6" s="15"/>
      <c r="F6" s="15"/>
      <c r="G6" s="35"/>
      <c r="H6" s="35"/>
      <c r="I6" s="36"/>
      <c r="J6" s="35"/>
      <c r="K6" s="37" t="s">
        <v>581</v>
      </c>
      <c r="L6" s="163"/>
      <c r="M6" s="37" t="s">
        <v>60</v>
      </c>
      <c r="N6" s="38"/>
      <c r="O6" s="37" t="s">
        <v>862</v>
      </c>
      <c r="P6" s="38"/>
    </row>
    <row r="7" spans="1:16" ht="15.75" customHeight="1">
      <c r="A7" s="62"/>
      <c r="B7" s="62"/>
      <c r="C7" s="62"/>
      <c r="D7" s="62"/>
      <c r="E7" s="62"/>
      <c r="F7" s="62"/>
      <c r="G7" s="14"/>
      <c r="H7" s="14"/>
      <c r="I7" s="95"/>
      <c r="J7" s="14"/>
      <c r="K7" s="16"/>
      <c r="L7" s="13"/>
      <c r="M7" s="16"/>
      <c r="N7" s="96"/>
      <c r="O7" s="16"/>
      <c r="P7" s="96"/>
    </row>
    <row r="8" spans="1:20" ht="18">
      <c r="A8" s="23" t="s">
        <v>866</v>
      </c>
      <c r="B8" s="22"/>
      <c r="C8" s="22"/>
      <c r="D8" s="22"/>
      <c r="E8" s="7"/>
      <c r="F8" s="7"/>
      <c r="G8" s="14"/>
      <c r="H8" s="14"/>
      <c r="J8" s="14"/>
      <c r="K8" s="14"/>
      <c r="L8" s="25"/>
      <c r="M8" s="14"/>
      <c r="O8" s="14"/>
      <c r="T8" s="17"/>
    </row>
    <row r="9" spans="2:15" ht="21" customHeight="1">
      <c r="B9" s="9" t="s">
        <v>953</v>
      </c>
      <c r="G9" s="14"/>
      <c r="H9" s="14"/>
      <c r="J9" s="14"/>
      <c r="K9" s="14"/>
      <c r="L9" s="25"/>
      <c r="M9" s="14"/>
      <c r="O9" s="14"/>
    </row>
    <row r="10" spans="3:16" ht="16.5" customHeight="1">
      <c r="C10" s="9" t="s">
        <v>513</v>
      </c>
      <c r="G10" s="90">
        <v>32808</v>
      </c>
      <c r="H10" s="91">
        <v>43753</v>
      </c>
      <c r="I10" s="3"/>
      <c r="J10" s="90">
        <v>43753</v>
      </c>
      <c r="K10" s="40">
        <v>4522.068</v>
      </c>
      <c r="L10" s="25"/>
      <c r="M10" s="47" t="s">
        <v>65</v>
      </c>
      <c r="N10" s="164"/>
      <c r="O10" s="40">
        <f aca="true" t="shared" si="0" ref="O10:O17">K10+M10</f>
        <v>4522.068</v>
      </c>
      <c r="P10" s="21"/>
    </row>
    <row r="11" spans="3:16" ht="16.5" customHeight="1">
      <c r="C11" s="9" t="s">
        <v>513</v>
      </c>
      <c r="G11" s="90">
        <v>33070</v>
      </c>
      <c r="H11" s="91">
        <v>44027</v>
      </c>
      <c r="I11" s="3"/>
      <c r="J11" s="90">
        <v>44027</v>
      </c>
      <c r="K11" s="40">
        <v>5026.13</v>
      </c>
      <c r="L11" s="20"/>
      <c r="M11" s="47" t="s">
        <v>65</v>
      </c>
      <c r="N11" s="27"/>
      <c r="O11" s="40">
        <f t="shared" si="0"/>
        <v>5026.13</v>
      </c>
      <c r="P11" s="21"/>
    </row>
    <row r="12" spans="3:16" ht="16.5" customHeight="1">
      <c r="C12" s="9" t="s">
        <v>514</v>
      </c>
      <c r="G12" s="90">
        <v>33151</v>
      </c>
      <c r="H12" s="91">
        <v>44119</v>
      </c>
      <c r="I12" s="3"/>
      <c r="J12" s="90">
        <v>44119</v>
      </c>
      <c r="K12" s="40">
        <v>2.75</v>
      </c>
      <c r="L12" s="20"/>
      <c r="M12" s="47" t="s">
        <v>65</v>
      </c>
      <c r="N12" s="27"/>
      <c r="O12" s="40">
        <f t="shared" si="0"/>
        <v>2.75</v>
      </c>
      <c r="P12" s="21"/>
    </row>
    <row r="13" spans="3:16" ht="16.5" customHeight="1">
      <c r="C13" s="9" t="s">
        <v>515</v>
      </c>
      <c r="G13" s="90">
        <v>33151</v>
      </c>
      <c r="H13" s="91">
        <v>44119</v>
      </c>
      <c r="I13" s="3"/>
      <c r="J13" s="90">
        <v>44119</v>
      </c>
      <c r="K13" s="40">
        <v>5000</v>
      </c>
      <c r="L13" s="20"/>
      <c r="M13" s="47" t="s">
        <v>65</v>
      </c>
      <c r="N13" s="27"/>
      <c r="O13" s="40">
        <f>K13+M13</f>
        <v>5000</v>
      </c>
      <c r="P13" s="21"/>
    </row>
    <row r="14" spans="3:16" ht="16.5" customHeight="1">
      <c r="C14" s="9" t="s">
        <v>513</v>
      </c>
      <c r="G14" s="90">
        <v>33252</v>
      </c>
      <c r="H14" s="91">
        <v>44211</v>
      </c>
      <c r="I14" s="3"/>
      <c r="J14" s="90">
        <v>44211</v>
      </c>
      <c r="K14" s="40">
        <v>4940.921</v>
      </c>
      <c r="L14" s="20"/>
      <c r="M14" s="47" t="s">
        <v>65</v>
      </c>
      <c r="N14" s="27"/>
      <c r="O14" s="40">
        <f t="shared" si="0"/>
        <v>4940.921</v>
      </c>
      <c r="P14" s="21"/>
    </row>
    <row r="15" spans="3:16" ht="16.5" customHeight="1">
      <c r="C15" s="9" t="s">
        <v>513</v>
      </c>
      <c r="G15" s="90">
        <v>32902</v>
      </c>
      <c r="H15" s="91">
        <v>47498</v>
      </c>
      <c r="I15" s="3"/>
      <c r="J15" s="90">
        <v>47498</v>
      </c>
      <c r="K15" s="40">
        <v>5002.232</v>
      </c>
      <c r="L15" s="20"/>
      <c r="M15" s="47" t="s">
        <v>65</v>
      </c>
      <c r="N15" s="27"/>
      <c r="O15" s="40">
        <f t="shared" si="0"/>
        <v>5002.232</v>
      </c>
      <c r="P15" s="21"/>
    </row>
    <row r="16" spans="3:16" ht="16.5" customHeight="1">
      <c r="C16" s="9" t="s">
        <v>513</v>
      </c>
      <c r="G16" s="90">
        <v>32979</v>
      </c>
      <c r="H16" s="91">
        <v>47588</v>
      </c>
      <c r="I16" s="3"/>
      <c r="J16" s="90">
        <v>47588</v>
      </c>
      <c r="K16" s="40">
        <v>3501.265</v>
      </c>
      <c r="L16" s="20"/>
      <c r="M16" s="47" t="s">
        <v>65</v>
      </c>
      <c r="N16" s="27"/>
      <c r="O16" s="40">
        <f t="shared" si="0"/>
        <v>3501.265</v>
      </c>
      <c r="P16" s="21"/>
    </row>
    <row r="17" spans="3:16" ht="16.5" customHeight="1">
      <c r="C17" s="9" t="s">
        <v>513</v>
      </c>
      <c r="G17" s="90">
        <v>33252</v>
      </c>
      <c r="H17" s="91">
        <v>47588</v>
      </c>
      <c r="I17" s="3"/>
      <c r="J17" s="90">
        <v>47588</v>
      </c>
      <c r="K17" s="40">
        <v>1999.814</v>
      </c>
      <c r="L17" s="20"/>
      <c r="M17" s="47" t="s">
        <v>65</v>
      </c>
      <c r="N17" s="27"/>
      <c r="O17" s="40">
        <f t="shared" si="0"/>
        <v>1999.814</v>
      </c>
      <c r="P17" s="21"/>
    </row>
    <row r="18" spans="2:16" ht="21" customHeight="1" thickBot="1">
      <c r="B18" s="221" t="s">
        <v>937</v>
      </c>
      <c r="G18" s="34" t="s">
        <v>66</v>
      </c>
      <c r="H18" s="16" t="s">
        <v>66</v>
      </c>
      <c r="I18" s="3"/>
      <c r="J18" s="34" t="s">
        <v>66</v>
      </c>
      <c r="K18" s="215">
        <f>SUM(K10:K17)</f>
        <v>29995.179999999997</v>
      </c>
      <c r="L18" s="229"/>
      <c r="M18" s="218" t="s">
        <v>65</v>
      </c>
      <c r="N18" s="219"/>
      <c r="O18" s="215">
        <f>SUM(O10:O17)</f>
        <v>29995.179999999997</v>
      </c>
      <c r="P18" s="230"/>
    </row>
    <row r="19" spans="7:15" ht="15.75" customHeight="1" thickTop="1">
      <c r="G19" s="14"/>
      <c r="H19" s="14"/>
      <c r="I19" s="31"/>
      <c r="J19" s="14"/>
      <c r="K19" s="14"/>
      <c r="L19" s="25"/>
      <c r="M19" s="14"/>
      <c r="O19" s="14"/>
    </row>
    <row r="20" spans="2:15" ht="21" customHeight="1">
      <c r="B20" s="9" t="s">
        <v>938</v>
      </c>
      <c r="E20" s="19"/>
      <c r="F20" s="151"/>
      <c r="G20" s="14"/>
      <c r="H20" s="14"/>
      <c r="J20" s="14"/>
      <c r="K20" s="14"/>
      <c r="L20" s="25"/>
      <c r="M20" s="162"/>
      <c r="O20" s="14"/>
    </row>
    <row r="21" spans="3:16" ht="16.5" customHeight="1">
      <c r="C21" s="131" t="s">
        <v>696</v>
      </c>
      <c r="G21" s="52">
        <v>38037</v>
      </c>
      <c r="H21" s="91">
        <v>38201</v>
      </c>
      <c r="I21" s="3"/>
      <c r="J21" s="91">
        <v>38201</v>
      </c>
      <c r="K21" s="40">
        <v>200</v>
      </c>
      <c r="L21" s="21"/>
      <c r="M21" s="47" t="s">
        <v>65</v>
      </c>
      <c r="N21" s="27"/>
      <c r="O21" s="40">
        <f>K21+M21</f>
        <v>200</v>
      </c>
      <c r="P21" s="41"/>
    </row>
    <row r="22" spans="3:16" ht="16.5" customHeight="1">
      <c r="C22" s="131" t="s">
        <v>696</v>
      </c>
      <c r="G22" s="52">
        <v>38037</v>
      </c>
      <c r="H22" s="91">
        <v>38201</v>
      </c>
      <c r="I22" s="3"/>
      <c r="J22" s="91">
        <v>38201</v>
      </c>
      <c r="K22" s="40">
        <v>350</v>
      </c>
      <c r="L22" s="21"/>
      <c r="M22" s="47" t="s">
        <v>65</v>
      </c>
      <c r="N22" s="27"/>
      <c r="O22" s="40">
        <f>K22+M22</f>
        <v>350</v>
      </c>
      <c r="P22" s="41"/>
    </row>
    <row r="23" spans="3:16" ht="16.5" customHeight="1">
      <c r="C23" s="131" t="s">
        <v>626</v>
      </c>
      <c r="G23" s="52">
        <v>38176</v>
      </c>
      <c r="H23" s="91">
        <v>38358</v>
      </c>
      <c r="I23" s="3"/>
      <c r="J23" s="91">
        <v>38358</v>
      </c>
      <c r="K23" s="40">
        <v>100</v>
      </c>
      <c r="L23" s="21"/>
      <c r="M23" s="47" t="s">
        <v>65</v>
      </c>
      <c r="N23" s="27"/>
      <c r="O23" s="40">
        <f>K23+M23</f>
        <v>100</v>
      </c>
      <c r="P23" s="41"/>
    </row>
    <row r="24" spans="3:16" ht="16.5" customHeight="1">
      <c r="C24" s="9" t="s">
        <v>516</v>
      </c>
      <c r="F24" s="151">
        <v>9</v>
      </c>
      <c r="G24" s="90">
        <v>33225</v>
      </c>
      <c r="H24" s="91">
        <v>43921</v>
      </c>
      <c r="I24" s="3"/>
      <c r="J24" s="90">
        <v>43921</v>
      </c>
      <c r="K24" s="40">
        <v>7258.00959</v>
      </c>
      <c r="L24" s="21"/>
      <c r="M24" s="51">
        <v>-4536.703</v>
      </c>
      <c r="N24" s="21"/>
      <c r="O24" s="40">
        <f>K24+M24</f>
        <v>2721.3065899999992</v>
      </c>
      <c r="P24" s="21"/>
    </row>
    <row r="25" spans="3:16" ht="16.5" customHeight="1">
      <c r="C25" s="9" t="s">
        <v>1169</v>
      </c>
      <c r="F25" s="151">
        <v>9</v>
      </c>
      <c r="G25" s="90">
        <v>34066</v>
      </c>
      <c r="H25" s="91">
        <v>45016</v>
      </c>
      <c r="I25" s="3"/>
      <c r="J25" s="90">
        <v>45016</v>
      </c>
      <c r="K25" s="40">
        <v>6685</v>
      </c>
      <c r="L25" s="21"/>
      <c r="M25" s="51">
        <v>-3624.942</v>
      </c>
      <c r="N25" s="181"/>
      <c r="O25" s="40">
        <f>K25+M25</f>
        <v>3060.058</v>
      </c>
      <c r="P25" s="21"/>
    </row>
    <row r="26" spans="2:16" ht="20.25" customHeight="1" thickBot="1">
      <c r="B26" s="221" t="s">
        <v>940</v>
      </c>
      <c r="G26" s="34" t="s">
        <v>66</v>
      </c>
      <c r="H26" s="16" t="s">
        <v>66</v>
      </c>
      <c r="I26" s="3"/>
      <c r="J26" s="34" t="s">
        <v>66</v>
      </c>
      <c r="K26" s="215">
        <f>SUM(K21:K25)</f>
        <v>14593.00959</v>
      </c>
      <c r="L26" s="216"/>
      <c r="M26" s="228">
        <f>SUM(M21:M25)</f>
        <v>-8161.645</v>
      </c>
      <c r="N26" s="216"/>
      <c r="O26" s="215">
        <f>SUM(O21:O25)</f>
        <v>6431.364589999999</v>
      </c>
      <c r="P26" s="216"/>
    </row>
    <row r="27" spans="7:15" ht="15.75" customHeight="1" thickTop="1">
      <c r="G27" s="14"/>
      <c r="H27" s="14"/>
      <c r="J27" s="14"/>
      <c r="K27" s="14"/>
      <c r="M27" s="14"/>
      <c r="O27" s="14"/>
    </row>
    <row r="28" spans="2:15" ht="21" customHeight="1">
      <c r="B28" s="9" t="s">
        <v>941</v>
      </c>
      <c r="G28" s="14"/>
      <c r="H28" s="14"/>
      <c r="J28" s="14"/>
      <c r="K28" s="14"/>
      <c r="M28" s="14"/>
      <c r="O28" s="14"/>
    </row>
    <row r="29" spans="3:15" ht="16.5" customHeight="1">
      <c r="C29" s="9" t="s">
        <v>942</v>
      </c>
      <c r="G29" s="14"/>
      <c r="H29" s="14"/>
      <c r="J29" s="14"/>
      <c r="K29" s="40"/>
      <c r="M29" s="40" t="s">
        <v>859</v>
      </c>
      <c r="O29" s="40"/>
    </row>
    <row r="30" spans="3:15" ht="16.5" customHeight="1">
      <c r="C30" s="9" t="s">
        <v>943</v>
      </c>
      <c r="G30" s="34" t="s">
        <v>952</v>
      </c>
      <c r="H30" s="16" t="s">
        <v>66</v>
      </c>
      <c r="I30" s="3"/>
      <c r="J30" s="34" t="s">
        <v>944</v>
      </c>
      <c r="K30" s="40">
        <v>52.850988</v>
      </c>
      <c r="M30" s="51">
        <v>-51.797988</v>
      </c>
      <c r="N30" s="43"/>
      <c r="O30" s="53">
        <f>(K30+M30)</f>
        <v>1.0530000000000044</v>
      </c>
    </row>
    <row r="31" spans="2:16" ht="20.25" customHeight="1" thickBot="1">
      <c r="B31" s="221" t="s">
        <v>945</v>
      </c>
      <c r="G31" s="34" t="s">
        <v>66</v>
      </c>
      <c r="H31" s="16" t="s">
        <v>66</v>
      </c>
      <c r="I31" s="3"/>
      <c r="J31" s="34" t="s">
        <v>66</v>
      </c>
      <c r="K31" s="215">
        <f>K30</f>
        <v>52.850988</v>
      </c>
      <c r="L31" s="227"/>
      <c r="M31" s="215">
        <f>M30</f>
        <v>-51.797988</v>
      </c>
      <c r="N31" s="227"/>
      <c r="O31" s="231">
        <f>(K31+M31)</f>
        <v>1.0530000000000044</v>
      </c>
      <c r="P31" s="227"/>
    </row>
    <row r="32" spans="7:15" ht="15.75" customHeight="1" thickTop="1">
      <c r="G32" s="14"/>
      <c r="H32" s="14"/>
      <c r="J32" s="14"/>
      <c r="K32" s="40"/>
      <c r="M32" s="40"/>
      <c r="O32" s="40"/>
    </row>
    <row r="33" spans="2:15" ht="21" customHeight="1">
      <c r="B33" s="9" t="s">
        <v>206</v>
      </c>
      <c r="G33" s="14"/>
      <c r="H33" s="14"/>
      <c r="J33" s="14"/>
      <c r="K33" s="14"/>
      <c r="M33" s="14"/>
      <c r="O33" s="14"/>
    </row>
    <row r="34" spans="3:15" ht="16.5" customHeight="1">
      <c r="C34" s="9" t="s">
        <v>207</v>
      </c>
      <c r="G34" s="14"/>
      <c r="H34" s="14"/>
      <c r="J34" s="14"/>
      <c r="K34" s="40"/>
      <c r="M34" s="40"/>
      <c r="O34" s="40"/>
    </row>
    <row r="35" spans="3:15" ht="16.5" customHeight="1">
      <c r="C35" s="9" t="s">
        <v>208</v>
      </c>
      <c r="G35" s="34" t="s">
        <v>952</v>
      </c>
      <c r="H35" s="16" t="s">
        <v>66</v>
      </c>
      <c r="I35" s="3"/>
      <c r="J35" s="34" t="s">
        <v>209</v>
      </c>
      <c r="K35" s="40">
        <v>238026.896727</v>
      </c>
      <c r="M35" s="51">
        <v>-225085.318577</v>
      </c>
      <c r="N35" s="43"/>
      <c r="O35" s="92">
        <f>(K35+M35)</f>
        <v>12941.578150000016</v>
      </c>
    </row>
    <row r="36" spans="3:15" ht="16.5" customHeight="1">
      <c r="C36" s="9" t="s">
        <v>210</v>
      </c>
      <c r="G36" s="14"/>
      <c r="H36" s="14"/>
      <c r="J36" s="14"/>
      <c r="K36" s="40"/>
      <c r="M36" s="51" t="s">
        <v>859</v>
      </c>
      <c r="N36" s="43"/>
      <c r="O36" s="40"/>
    </row>
    <row r="37" spans="3:15" ht="16.5" customHeight="1">
      <c r="C37" s="9" t="s">
        <v>966</v>
      </c>
      <c r="G37" s="34" t="s">
        <v>952</v>
      </c>
      <c r="H37" s="16" t="s">
        <v>66</v>
      </c>
      <c r="I37" s="3"/>
      <c r="J37" s="34" t="s">
        <v>952</v>
      </c>
      <c r="K37" s="40">
        <v>408665.444167</v>
      </c>
      <c r="M37" s="51">
        <v>-284851.853016</v>
      </c>
      <c r="N37" s="43"/>
      <c r="O37" s="92">
        <f>(K37+M37)</f>
        <v>123813.591151</v>
      </c>
    </row>
    <row r="38" spans="3:15" ht="16.5" customHeight="1">
      <c r="C38" s="9" t="s">
        <v>968</v>
      </c>
      <c r="G38" s="14"/>
      <c r="H38" s="14"/>
      <c r="J38" s="14"/>
      <c r="K38" s="40"/>
      <c r="M38" s="51" t="s">
        <v>859</v>
      </c>
      <c r="N38" s="43"/>
      <c r="O38" s="40"/>
    </row>
    <row r="39" spans="3:15" ht="16.5" customHeight="1">
      <c r="C39" s="9" t="s">
        <v>966</v>
      </c>
      <c r="G39" s="34" t="s">
        <v>952</v>
      </c>
      <c r="H39" s="16" t="s">
        <v>66</v>
      </c>
      <c r="I39" s="3"/>
      <c r="J39" s="34" t="s">
        <v>952</v>
      </c>
      <c r="K39" s="40">
        <v>48401.590028</v>
      </c>
      <c r="M39" s="51">
        <v>-28421.40729</v>
      </c>
      <c r="N39" s="43"/>
      <c r="O39" s="92">
        <f>(K39+M39)</f>
        <v>19980.182738</v>
      </c>
    </row>
    <row r="40" spans="3:16" ht="16.5" customHeight="1">
      <c r="C40" s="9" t="s">
        <v>372</v>
      </c>
      <c r="F40" s="151">
        <v>9</v>
      </c>
      <c r="G40" s="34" t="s">
        <v>952</v>
      </c>
      <c r="H40" s="16" t="s">
        <v>66</v>
      </c>
      <c r="I40" s="3"/>
      <c r="J40" s="34" t="s">
        <v>373</v>
      </c>
      <c r="K40" s="40">
        <v>4109.4634517</v>
      </c>
      <c r="L40" s="62"/>
      <c r="M40" s="51">
        <v>-4041.51759746</v>
      </c>
      <c r="N40" s="378"/>
      <c r="O40" s="92">
        <f>(K40+M40)</f>
        <v>67.94585424000024</v>
      </c>
      <c r="P40" s="62"/>
    </row>
    <row r="41" spans="3:16" ht="16.5" customHeight="1">
      <c r="C41" s="9" t="s">
        <v>967</v>
      </c>
      <c r="G41" s="34" t="s">
        <v>952</v>
      </c>
      <c r="H41" s="16" t="s">
        <v>66</v>
      </c>
      <c r="I41" s="3"/>
      <c r="J41" s="34" t="s">
        <v>66</v>
      </c>
      <c r="K41" s="71">
        <v>300.2574</v>
      </c>
      <c r="L41" s="72"/>
      <c r="M41" s="174">
        <v>-300.1131</v>
      </c>
      <c r="N41" s="175"/>
      <c r="O41" s="399" t="s">
        <v>432</v>
      </c>
      <c r="P41" s="72"/>
    </row>
    <row r="42" spans="2:16" ht="21" customHeight="1">
      <c r="B42" s="221" t="s">
        <v>969</v>
      </c>
      <c r="C42" s="9"/>
      <c r="F42" s="65"/>
      <c r="G42" s="34"/>
      <c r="H42" s="16"/>
      <c r="I42" s="3"/>
      <c r="J42" s="34"/>
      <c r="K42" s="40"/>
      <c r="L42" s="62"/>
      <c r="M42" s="40"/>
      <c r="N42" s="62"/>
      <c r="O42" s="92"/>
      <c r="P42" s="62"/>
    </row>
    <row r="43" spans="2:16" ht="20.25" customHeight="1" thickBot="1">
      <c r="B43" s="221" t="s">
        <v>970</v>
      </c>
      <c r="G43" s="34" t="s">
        <v>66</v>
      </c>
      <c r="H43" s="16" t="s">
        <v>66</v>
      </c>
      <c r="I43" s="3"/>
      <c r="J43" s="34" t="s">
        <v>66</v>
      </c>
      <c r="K43" s="231">
        <f>SUM(K34:K41)</f>
        <v>699503.6517737</v>
      </c>
      <c r="L43" s="232"/>
      <c r="M43" s="231">
        <f>SUM(M34:M41)</f>
        <v>-542700.2095804599</v>
      </c>
      <c r="N43" s="233"/>
      <c r="O43" s="231">
        <f>SUM(O34:O41)</f>
        <v>156803.29789324003</v>
      </c>
      <c r="P43" s="232"/>
    </row>
    <row r="44" spans="7:15" ht="15.75" customHeight="1" thickTop="1">
      <c r="G44" s="14"/>
      <c r="H44" s="14"/>
      <c r="J44" s="14"/>
      <c r="K44" s="14"/>
      <c r="L44" s="21"/>
      <c r="M44" s="14"/>
      <c r="O44" s="14"/>
    </row>
    <row r="45" spans="2:15" ht="21" customHeight="1">
      <c r="B45" s="9" t="s">
        <v>480</v>
      </c>
      <c r="G45" s="14"/>
      <c r="H45" s="14"/>
      <c r="J45" s="14"/>
      <c r="K45" s="14"/>
      <c r="L45" s="21"/>
      <c r="M45" s="14"/>
      <c r="O45" s="14"/>
    </row>
    <row r="46" spans="3:15" ht="18" customHeight="1">
      <c r="C46" s="9" t="s">
        <v>481</v>
      </c>
      <c r="F46" s="151" t="s">
        <v>549</v>
      </c>
      <c r="G46" s="14"/>
      <c r="H46" s="14"/>
      <c r="J46" s="14"/>
      <c r="K46" s="14"/>
      <c r="M46" s="162"/>
      <c r="O46" s="14"/>
    </row>
    <row r="47" spans="4:15" ht="16.5" customHeight="1">
      <c r="D47" s="9" t="s">
        <v>762</v>
      </c>
      <c r="F47" s="151"/>
      <c r="G47" s="34" t="s">
        <v>952</v>
      </c>
      <c r="H47" s="16" t="s">
        <v>763</v>
      </c>
      <c r="I47" s="3"/>
      <c r="J47" s="34" t="s">
        <v>764</v>
      </c>
      <c r="K47" s="40">
        <v>100204.13334667</v>
      </c>
      <c r="M47" s="51">
        <v>-75005.81738766</v>
      </c>
      <c r="N47" s="43"/>
      <c r="O47" s="92">
        <f>+K47+M47</f>
        <v>25198.315959009997</v>
      </c>
    </row>
    <row r="48" spans="4:15" ht="16.5" customHeight="1">
      <c r="D48" s="9" t="s">
        <v>765</v>
      </c>
      <c r="F48" s="151">
        <v>11</v>
      </c>
      <c r="G48" s="34" t="s">
        <v>952</v>
      </c>
      <c r="H48" s="16" t="s">
        <v>763</v>
      </c>
      <c r="I48" s="3"/>
      <c r="J48" s="34" t="s">
        <v>764</v>
      </c>
      <c r="K48" s="40">
        <v>250408.28647577</v>
      </c>
      <c r="M48" s="51">
        <v>-120554.34144142</v>
      </c>
      <c r="N48" s="43"/>
      <c r="O48" s="92">
        <f>+K48+M48</f>
        <v>129853.94503435</v>
      </c>
    </row>
    <row r="49" spans="4:15" ht="16.5" customHeight="1">
      <c r="D49" s="131" t="s">
        <v>766</v>
      </c>
      <c r="F49" s="151"/>
      <c r="G49" s="14"/>
      <c r="H49" s="14"/>
      <c r="J49" s="14"/>
      <c r="K49" s="14"/>
      <c r="M49" s="162"/>
      <c r="N49" s="43"/>
      <c r="O49" s="14"/>
    </row>
    <row r="50" spans="4:15" ht="16.5" customHeight="1">
      <c r="D50" s="9" t="s">
        <v>767</v>
      </c>
      <c r="F50" s="151"/>
      <c r="G50" s="34" t="s">
        <v>952</v>
      </c>
      <c r="H50" s="16" t="s">
        <v>763</v>
      </c>
      <c r="I50" s="3"/>
      <c r="J50" s="34" t="s">
        <v>764</v>
      </c>
      <c r="K50" s="40">
        <v>141.52008973</v>
      </c>
      <c r="M50" s="51">
        <v>-514.20611828</v>
      </c>
      <c r="N50" s="43"/>
      <c r="O50" s="92">
        <f>+K50+M50</f>
        <v>-372.68602855000006</v>
      </c>
    </row>
    <row r="51" spans="4:15" ht="16.5" customHeight="1">
      <c r="D51" s="9" t="s">
        <v>768</v>
      </c>
      <c r="F51" s="154"/>
      <c r="G51" s="34" t="s">
        <v>952</v>
      </c>
      <c r="H51" s="16" t="s">
        <v>763</v>
      </c>
      <c r="I51" s="3"/>
      <c r="J51" s="34" t="s">
        <v>944</v>
      </c>
      <c r="K51" s="40">
        <v>3658.4015</v>
      </c>
      <c r="M51" s="51">
        <v>-3262.8155</v>
      </c>
      <c r="N51" s="43"/>
      <c r="O51" s="92">
        <f>+K51+M51</f>
        <v>395.5859999999998</v>
      </c>
    </row>
    <row r="52" spans="4:15" ht="16.5" customHeight="1">
      <c r="D52" s="9" t="s">
        <v>769</v>
      </c>
      <c r="F52" s="154"/>
      <c r="G52" s="34" t="s">
        <v>952</v>
      </c>
      <c r="H52" s="16" t="s">
        <v>763</v>
      </c>
      <c r="I52" s="3"/>
      <c r="J52" s="34" t="s">
        <v>944</v>
      </c>
      <c r="K52" s="40">
        <v>20874.9485</v>
      </c>
      <c r="M52" s="51">
        <v>-6834.2125</v>
      </c>
      <c r="N52" s="43"/>
      <c r="O52" s="92">
        <f>(K52+M52)</f>
        <v>14040.735999999999</v>
      </c>
    </row>
    <row r="53" spans="4:15" ht="16.5" customHeight="1">
      <c r="D53" s="9" t="s">
        <v>772</v>
      </c>
      <c r="F53" s="154"/>
      <c r="G53" s="34" t="s">
        <v>952</v>
      </c>
      <c r="H53" s="16" t="s">
        <v>763</v>
      </c>
      <c r="I53" s="3"/>
      <c r="J53" s="34" t="s">
        <v>944</v>
      </c>
      <c r="K53" s="40">
        <v>67.88986291</v>
      </c>
      <c r="M53" s="51" t="s">
        <v>432</v>
      </c>
      <c r="N53" s="27"/>
      <c r="O53" s="92">
        <f>(K53+M53)+0.00396912</f>
        <v>67.89383203</v>
      </c>
    </row>
    <row r="54" spans="4:15" ht="16.5" customHeight="1">
      <c r="D54" s="9" t="s">
        <v>1051</v>
      </c>
      <c r="F54" s="151">
        <v>11</v>
      </c>
      <c r="G54" s="34" t="s">
        <v>952</v>
      </c>
      <c r="H54" s="16" t="s">
        <v>763</v>
      </c>
      <c r="I54" s="3"/>
      <c r="J54" s="34" t="s">
        <v>764</v>
      </c>
      <c r="K54" s="40">
        <v>26614.14251268</v>
      </c>
      <c r="M54" s="51">
        <v>-1700.78923156</v>
      </c>
      <c r="N54" s="43"/>
      <c r="O54" s="92">
        <f>(K54+M54)</f>
        <v>24913.35328112</v>
      </c>
    </row>
    <row r="55" spans="3:16" ht="18" customHeight="1">
      <c r="C55" s="9" t="s">
        <v>1052</v>
      </c>
      <c r="F55" s="154"/>
      <c r="G55" s="34" t="s">
        <v>66</v>
      </c>
      <c r="H55" s="16" t="s">
        <v>66</v>
      </c>
      <c r="I55" s="3"/>
      <c r="J55" s="34" t="s">
        <v>66</v>
      </c>
      <c r="K55" s="56">
        <f>SUM(K47:K54)</f>
        <v>401969.3222877599</v>
      </c>
      <c r="L55" s="57"/>
      <c r="M55" s="56">
        <f>SUM(M47:M54)+0.00397</f>
        <v>-207872.17820892</v>
      </c>
      <c r="N55" s="57"/>
      <c r="O55" s="56">
        <f>+K55+M55+0.0021322</f>
        <v>194097.14621103992</v>
      </c>
      <c r="P55" s="57"/>
    </row>
    <row r="56" spans="3:15" ht="16.5" customHeight="1">
      <c r="C56" s="9" t="s">
        <v>1053</v>
      </c>
      <c r="F56" s="154"/>
      <c r="G56" s="14"/>
      <c r="H56" s="14"/>
      <c r="J56" s="14"/>
      <c r="K56" s="14"/>
      <c r="M56" s="40"/>
      <c r="O56" s="14"/>
    </row>
    <row r="57" spans="3:15" ht="16.5" customHeight="1">
      <c r="C57" s="9" t="s">
        <v>1054</v>
      </c>
      <c r="F57" s="153" t="s">
        <v>550</v>
      </c>
      <c r="G57" s="34" t="s">
        <v>952</v>
      </c>
      <c r="H57" s="16" t="s">
        <v>763</v>
      </c>
      <c r="I57" s="3"/>
      <c r="J57" s="34" t="s">
        <v>764</v>
      </c>
      <c r="K57" s="40">
        <v>82.93602999</v>
      </c>
      <c r="M57" s="40">
        <v>-70.40082343</v>
      </c>
      <c r="O57" s="92">
        <f>(K57+M57)</f>
        <v>12.535206559999992</v>
      </c>
    </row>
    <row r="58" spans="3:16" ht="16.5" customHeight="1">
      <c r="C58" s="9" t="s">
        <v>1055</v>
      </c>
      <c r="F58" s="154"/>
      <c r="G58" s="14"/>
      <c r="H58" s="14"/>
      <c r="J58" s="14"/>
      <c r="K58" s="14"/>
      <c r="M58" s="40"/>
      <c r="O58" s="14"/>
      <c r="P58" s="21"/>
    </row>
    <row r="59" spans="3:16" ht="16.5" customHeight="1">
      <c r="C59" s="9" t="s">
        <v>1056</v>
      </c>
      <c r="F59" s="151">
        <v>13</v>
      </c>
      <c r="G59" s="34" t="s">
        <v>952</v>
      </c>
      <c r="H59" s="16" t="s">
        <v>763</v>
      </c>
      <c r="I59" s="3"/>
      <c r="J59" s="34" t="s">
        <v>764</v>
      </c>
      <c r="K59" s="40">
        <v>381.01789767</v>
      </c>
      <c r="L59" s="21"/>
      <c r="M59" s="40">
        <v>-333.020519</v>
      </c>
      <c r="N59" s="21"/>
      <c r="O59" s="92">
        <f>(K59+M59)</f>
        <v>47.997378670000046</v>
      </c>
      <c r="P59" s="21"/>
    </row>
    <row r="60" spans="2:16" ht="20.25" customHeight="1">
      <c r="B60" s="9" t="s">
        <v>946</v>
      </c>
      <c r="G60" s="34"/>
      <c r="H60" s="16" t="s">
        <v>66</v>
      </c>
      <c r="I60" s="3"/>
      <c r="J60" s="34" t="s">
        <v>66</v>
      </c>
      <c r="K60" s="56">
        <f>K55+K57+K59</f>
        <v>402433.27621541993</v>
      </c>
      <c r="L60" s="57"/>
      <c r="M60" s="56">
        <f>M55+M57+M59</f>
        <v>-208275.59955135002</v>
      </c>
      <c r="N60" s="57"/>
      <c r="O60" s="56">
        <f>O55+O57+O59</f>
        <v>194157.6787962699</v>
      </c>
      <c r="P60" s="57"/>
    </row>
    <row r="61" spans="2:16" ht="15.75" customHeight="1">
      <c r="B61" s="9" t="s">
        <v>1118</v>
      </c>
      <c r="G61" s="34"/>
      <c r="H61" s="16" t="s">
        <v>66</v>
      </c>
      <c r="I61" s="3"/>
      <c r="J61" s="34" t="s">
        <v>66</v>
      </c>
      <c r="K61" s="40">
        <v>10400.86427231</v>
      </c>
      <c r="L61" s="21"/>
      <c r="M61" s="47" t="s">
        <v>65</v>
      </c>
      <c r="N61" s="27"/>
      <c r="O61" s="92">
        <f>+K61</f>
        <v>10400.86427231</v>
      </c>
      <c r="P61" s="62"/>
    </row>
    <row r="62" spans="2:16" ht="15.75" customHeight="1" thickBot="1">
      <c r="B62" s="221" t="s">
        <v>686</v>
      </c>
      <c r="G62" s="34"/>
      <c r="H62" s="16" t="s">
        <v>66</v>
      </c>
      <c r="I62" s="3"/>
      <c r="J62" s="34" t="s">
        <v>66</v>
      </c>
      <c r="K62" s="215">
        <f>+K60+K61</f>
        <v>412834.1404877299</v>
      </c>
      <c r="L62" s="227"/>
      <c r="M62" s="215">
        <f>+M60+M61</f>
        <v>-208275.59955135002</v>
      </c>
      <c r="N62" s="227"/>
      <c r="O62" s="215">
        <f>+O60+O61</f>
        <v>204558.5430685799</v>
      </c>
      <c r="P62" s="54"/>
    </row>
    <row r="63" spans="2:16" ht="15.75" customHeight="1" thickTop="1">
      <c r="B63" s="221"/>
      <c r="G63" s="130"/>
      <c r="H63" s="96"/>
      <c r="I63" s="3"/>
      <c r="J63" s="130"/>
      <c r="K63" s="264"/>
      <c r="L63" s="339"/>
      <c r="M63" s="264"/>
      <c r="N63" s="339"/>
      <c r="O63" s="264"/>
      <c r="P63" s="62"/>
    </row>
    <row r="64" spans="2:16" ht="15.75" customHeight="1">
      <c r="B64" s="221"/>
      <c r="G64" s="130"/>
      <c r="H64" s="96"/>
      <c r="I64" s="3"/>
      <c r="J64" s="130"/>
      <c r="K64" s="264"/>
      <c r="L64" s="339"/>
      <c r="M64" s="264"/>
      <c r="N64" s="339"/>
      <c r="O64" s="264"/>
      <c r="P64" s="62"/>
    </row>
    <row r="65" spans="2:16" ht="15.75" customHeight="1">
      <c r="B65" s="221"/>
      <c r="G65" s="130"/>
      <c r="H65" s="96"/>
      <c r="I65" s="3"/>
      <c r="J65" s="130"/>
      <c r="K65" s="264"/>
      <c r="L65" s="339"/>
      <c r="M65" s="264"/>
      <c r="N65" s="339"/>
      <c r="O65" s="264"/>
      <c r="P65" s="62"/>
    </row>
    <row r="66" spans="2:16" ht="15.75" customHeight="1">
      <c r="B66" s="221"/>
      <c r="G66" s="130"/>
      <c r="H66" s="96"/>
      <c r="I66" s="3"/>
      <c r="J66" s="130"/>
      <c r="K66" s="264"/>
      <c r="L66" s="339"/>
      <c r="M66" s="264"/>
      <c r="N66" s="339"/>
      <c r="O66" s="264"/>
      <c r="P66" s="62"/>
    </row>
    <row r="67" spans="2:16" ht="15.75" customHeight="1">
      <c r="B67" s="221"/>
      <c r="G67" s="130"/>
      <c r="H67" s="96"/>
      <c r="I67" s="3"/>
      <c r="J67" s="130"/>
      <c r="K67" s="264"/>
      <c r="L67" s="339"/>
      <c r="M67" s="264"/>
      <c r="N67" s="339"/>
      <c r="O67" s="264"/>
      <c r="P67" s="62"/>
    </row>
    <row r="68" spans="2:16" ht="15.75" customHeight="1">
      <c r="B68" s="221"/>
      <c r="G68" s="130"/>
      <c r="H68" s="96"/>
      <c r="I68" s="3"/>
      <c r="J68" s="130"/>
      <c r="K68" s="264"/>
      <c r="L68" s="339"/>
      <c r="M68" s="264"/>
      <c r="N68" s="339"/>
      <c r="O68" s="264"/>
      <c r="P68" s="62"/>
    </row>
    <row r="69" spans="2:16" ht="15.75" customHeight="1">
      <c r="B69" s="221"/>
      <c r="G69" s="130"/>
      <c r="H69" s="96"/>
      <c r="I69" s="3"/>
      <c r="J69" s="130"/>
      <c r="K69" s="264"/>
      <c r="L69" s="339"/>
      <c r="M69" s="264"/>
      <c r="N69" s="339"/>
      <c r="O69" s="264"/>
      <c r="P69" s="62"/>
    </row>
    <row r="70" spans="2:16" ht="15.75" customHeight="1">
      <c r="B70" s="221"/>
      <c r="G70" s="130"/>
      <c r="H70" s="96"/>
      <c r="I70" s="3"/>
      <c r="J70" s="130"/>
      <c r="K70" s="264"/>
      <c r="L70" s="339"/>
      <c r="M70" s="264"/>
      <c r="N70" s="339"/>
      <c r="O70" s="264"/>
      <c r="P70" s="62"/>
    </row>
    <row r="71" spans="2:16" ht="15.75" customHeight="1">
      <c r="B71" s="221"/>
      <c r="G71" s="130"/>
      <c r="H71" s="96"/>
      <c r="I71" s="3"/>
      <c r="J71" s="130"/>
      <c r="K71" s="264"/>
      <c r="L71" s="339"/>
      <c r="M71" s="264"/>
      <c r="N71" s="339"/>
      <c r="O71" s="264"/>
      <c r="P71" s="62"/>
    </row>
    <row r="72" spans="2:16" ht="15.75" customHeight="1">
      <c r="B72" s="221"/>
      <c r="G72" s="130"/>
      <c r="H72" s="96"/>
      <c r="I72" s="3"/>
      <c r="J72" s="130"/>
      <c r="K72" s="264"/>
      <c r="L72" s="339"/>
      <c r="M72" s="264"/>
      <c r="N72" s="339"/>
      <c r="O72" s="264"/>
      <c r="P72" s="62"/>
    </row>
    <row r="73" spans="2:16" ht="15.75" customHeight="1">
      <c r="B73" s="221"/>
      <c r="G73" s="130"/>
      <c r="H73" s="96"/>
      <c r="I73" s="3"/>
      <c r="J73" s="130"/>
      <c r="K73" s="264"/>
      <c r="L73" s="339"/>
      <c r="M73" s="264"/>
      <c r="N73" s="339"/>
      <c r="O73" s="264"/>
      <c r="P73" s="62"/>
    </row>
    <row r="74" spans="2:16" ht="15.75" customHeight="1">
      <c r="B74" s="221"/>
      <c r="G74" s="130"/>
      <c r="H74" s="96"/>
      <c r="I74" s="3"/>
      <c r="J74" s="130"/>
      <c r="K74" s="264"/>
      <c r="L74" s="339"/>
      <c r="M74" s="264"/>
      <c r="N74" s="339"/>
      <c r="O74" s="264"/>
      <c r="P74" s="62"/>
    </row>
    <row r="75" spans="2:16" ht="15.75" customHeight="1">
      <c r="B75" s="221"/>
      <c r="G75" s="130"/>
      <c r="H75" s="96"/>
      <c r="I75" s="3"/>
      <c r="J75" s="130"/>
      <c r="K75" s="264"/>
      <c r="L75" s="339"/>
      <c r="M75" s="264"/>
      <c r="N75" s="339"/>
      <c r="O75" s="264"/>
      <c r="P75" s="62"/>
    </row>
    <row r="76" spans="2:16" ht="15.75" customHeight="1">
      <c r="B76" s="221"/>
      <c r="G76" s="130"/>
      <c r="H76" s="96"/>
      <c r="I76" s="3"/>
      <c r="J76" s="130"/>
      <c r="K76" s="264"/>
      <c r="L76" s="339"/>
      <c r="M76" s="264"/>
      <c r="N76" s="339"/>
      <c r="O76" s="264"/>
      <c r="P76" s="62"/>
    </row>
    <row r="77" spans="2:16" ht="15.75" customHeight="1">
      <c r="B77" s="221"/>
      <c r="G77" s="130"/>
      <c r="H77" s="96"/>
      <c r="I77" s="3"/>
      <c r="J77" s="130"/>
      <c r="K77" s="264"/>
      <c r="L77" s="339"/>
      <c r="M77" s="264"/>
      <c r="N77" s="339"/>
      <c r="O77" s="264"/>
      <c r="P77" s="62"/>
    </row>
    <row r="78" spans="2:16" ht="15.75" customHeight="1">
      <c r="B78" s="221"/>
      <c r="G78" s="130"/>
      <c r="H78" s="96"/>
      <c r="I78" s="3"/>
      <c r="J78" s="130"/>
      <c r="K78" s="264"/>
      <c r="L78" s="339"/>
      <c r="M78" s="264"/>
      <c r="N78" s="339"/>
      <c r="O78" s="264"/>
      <c r="P78" s="62"/>
    </row>
    <row r="79" spans="2:16" ht="15.75" customHeight="1">
      <c r="B79" s="221"/>
      <c r="G79" s="130"/>
      <c r="H79" s="96"/>
      <c r="I79" s="3"/>
      <c r="J79" s="130"/>
      <c r="K79" s="264"/>
      <c r="L79" s="339"/>
      <c r="M79" s="264"/>
      <c r="N79" s="339"/>
      <c r="O79" s="264"/>
      <c r="P79" s="62"/>
    </row>
    <row r="80" s="99" customFormat="1" ht="15.75" customHeight="1" thickBot="1"/>
    <row r="81" ht="15.75" thickTop="1"/>
  </sheetData>
  <printOptions horizontalCentered="1"/>
  <pageMargins left="0" right="0" top="0.5" bottom="0.1" header="0" footer="0"/>
  <pageSetup horizontalDpi="300" verticalDpi="300" orientation="portrait" scale="55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300"/>
  <sheetViews>
    <sheetView showGridLines="0" view="pageBreakPreview" zoomScale="75" zoomScaleNormal="60" zoomScaleSheetLayoutView="75" workbookViewId="0" topLeftCell="A172">
      <selection activeCell="A194" sqref="A194"/>
    </sheetView>
  </sheetViews>
  <sheetFormatPr defaultColWidth="9.77734375" defaultRowHeight="15"/>
  <cols>
    <col min="1" max="2" width="2.77734375" style="0" customWidth="1"/>
    <col min="3" max="3" width="2.99609375" style="0" customWidth="1"/>
    <col min="4" max="4" width="26.77734375" style="0" customWidth="1"/>
    <col min="5" max="5" width="11.77734375" style="0" customWidth="1"/>
    <col min="7" max="7" width="16.99609375" style="0" customWidth="1"/>
    <col min="8" max="8" width="13.77734375" style="0" customWidth="1"/>
    <col min="9" max="9" width="6.77734375" style="0" customWidth="1"/>
    <col min="10" max="10" width="16.77734375" style="0" customWidth="1"/>
    <col min="11" max="11" width="6.77734375" style="0" customWidth="1"/>
    <col min="12" max="12" width="17.88671875" style="0" customWidth="1"/>
    <col min="13" max="13" width="6.77734375" style="0" customWidth="1"/>
    <col min="14" max="14" width="9.3359375" style="0" bestFit="1" customWidth="1"/>
    <col min="16" max="16" width="12.5546875" style="0" bestFit="1" customWidth="1"/>
  </cols>
  <sheetData>
    <row r="1" spans="2:13" ht="16.5" customHeight="1">
      <c r="B1" s="2" t="str">
        <f>(Marketable!B86)</f>
        <v>TABLE III - DETAIL OF TREASURY SECURITIES OUTSTANDING, JULY 31, 2004 -- Continued</v>
      </c>
      <c r="C1" s="3"/>
      <c r="D1" s="2"/>
      <c r="E1" s="3"/>
      <c r="F1" s="3"/>
      <c r="G1" s="3"/>
      <c r="H1" s="3"/>
      <c r="I1" s="3"/>
      <c r="J1" s="3"/>
      <c r="K1" s="3"/>
      <c r="L1" s="3"/>
      <c r="M1" s="58">
        <v>7</v>
      </c>
    </row>
    <row r="2" spans="4:13" ht="11.25" customHeight="1" thickBot="1">
      <c r="D2" s="2"/>
      <c r="E2" s="3"/>
      <c r="F2" s="3"/>
      <c r="G2" s="3"/>
      <c r="H2" s="3"/>
      <c r="I2" s="3"/>
      <c r="J2" s="3"/>
      <c r="K2" s="3"/>
      <c r="L2" s="3"/>
      <c r="M2" s="58"/>
    </row>
    <row r="3" spans="1:13" ht="15.75" customHeight="1" thickTop="1">
      <c r="A3" s="32"/>
      <c r="B3" s="32"/>
      <c r="C3" s="32"/>
      <c r="D3" s="32"/>
      <c r="E3" s="32"/>
      <c r="F3" s="32"/>
      <c r="G3" s="32"/>
      <c r="H3" s="26"/>
      <c r="I3" s="32"/>
      <c r="J3" s="32"/>
      <c r="K3" s="32"/>
      <c r="L3" s="32"/>
      <c r="M3" s="32"/>
    </row>
    <row r="4" spans="8:13" ht="15.75" customHeight="1">
      <c r="H4" s="16" t="s">
        <v>576</v>
      </c>
      <c r="I4" s="3"/>
      <c r="J4" s="3"/>
      <c r="K4" s="3"/>
      <c r="L4" s="3"/>
      <c r="M4" s="3"/>
    </row>
    <row r="5" spans="1:13" ht="15.75" customHeight="1">
      <c r="A5" s="3" t="s">
        <v>577</v>
      </c>
      <c r="B5" s="3"/>
      <c r="C5" s="3"/>
      <c r="D5" s="3"/>
      <c r="E5" s="3"/>
      <c r="F5" s="3"/>
      <c r="G5" s="3"/>
      <c r="H5" s="16" t="s">
        <v>859</v>
      </c>
      <c r="I5" s="3"/>
      <c r="J5" s="3"/>
      <c r="K5" s="3"/>
      <c r="L5" s="3"/>
      <c r="M5" s="3"/>
    </row>
    <row r="6" spans="1:13" ht="16.5" customHeight="1">
      <c r="A6" s="15"/>
      <c r="B6" s="15"/>
      <c r="C6" s="15"/>
      <c r="D6" s="15"/>
      <c r="E6" s="15"/>
      <c r="F6" s="15"/>
      <c r="G6" s="15"/>
      <c r="H6" s="37" t="s">
        <v>581</v>
      </c>
      <c r="I6" s="38"/>
      <c r="J6" s="37" t="s">
        <v>60</v>
      </c>
      <c r="K6" s="38"/>
      <c r="L6" s="37" t="s">
        <v>862</v>
      </c>
      <c r="M6" s="38"/>
    </row>
    <row r="7" spans="8:12" ht="15.75" customHeight="1">
      <c r="H7" s="14"/>
      <c r="J7" s="14"/>
      <c r="L7" s="14"/>
    </row>
    <row r="8" spans="1:12" ht="18" customHeight="1">
      <c r="A8" s="43"/>
      <c r="B8" s="7" t="s">
        <v>1059</v>
      </c>
      <c r="H8" s="14"/>
      <c r="J8" s="14"/>
      <c r="L8" s="14"/>
    </row>
    <row r="9" spans="2:15" ht="21" customHeight="1">
      <c r="B9" s="159" t="s">
        <v>50</v>
      </c>
      <c r="C9" s="77"/>
      <c r="D9" s="77"/>
      <c r="H9" s="40"/>
      <c r="I9" s="21"/>
      <c r="J9" s="40"/>
      <c r="K9" s="21"/>
      <c r="L9" s="40"/>
      <c r="M9" s="21"/>
      <c r="O9" s="278"/>
    </row>
    <row r="10" spans="3:15" ht="15.75" customHeight="1">
      <c r="C10" s="9" t="s">
        <v>512</v>
      </c>
      <c r="H10" s="391">
        <f>IF(VLOOKUP(GAS!N10,'GAS ASCII'!$B$2:$C$200,2)&gt;=500000,VLOOKUP(GAS!N10,'GAS ASCII'!$B$2:$C$200,2)/1000000,IF(VLOOKUP(GAS!N10,'GAS ASCII'!$B$2:$C$200,2)&lt;=0,"……………….","*"))</f>
        <v>382.50050533</v>
      </c>
      <c r="I10" s="21" t="s">
        <v>859</v>
      </c>
      <c r="J10" s="391">
        <f>IF(VLOOKUP(GAS!N10,'GAS ASCII'!$B$2:$D$200,3)&gt;=500000,VLOOKUP(GAS!N10,'GAS ASCII'!$B$2:$D$200,3)/-1000000,IF(VLOOKUP(GAS!N10,'GAS ASCII'!$B$2:$D$200,3)&lt;=0,"……………….","*"))</f>
        <v>-2.061</v>
      </c>
      <c r="K10" s="21"/>
      <c r="L10" s="391">
        <f>IF(VLOOKUP(GAS!N10,'GAS ASCII'!$B$2:$E$200,4)&gt;=500000,VLOOKUP(GAS!N10,'GAS ASCII'!$B$2:$E$200,4)/1000000,IF(VLOOKUP(GAS!N10,'GAS ASCII'!$B$2:$E$200,4)&lt;=0,"……………….","*"))</f>
        <v>380.43950533</v>
      </c>
      <c r="M10" s="21"/>
      <c r="N10" t="s">
        <v>874</v>
      </c>
      <c r="O10" s="278"/>
    </row>
    <row r="11" spans="3:15" ht="15.75" customHeight="1">
      <c r="C11" s="9"/>
      <c r="H11" s="391"/>
      <c r="I11" s="21"/>
      <c r="J11" s="391"/>
      <c r="K11" s="21"/>
      <c r="L11" s="391"/>
      <c r="M11" s="21"/>
      <c r="O11" s="278"/>
    </row>
    <row r="12" spans="3:15" ht="15.75" customHeight="1">
      <c r="C12" s="9" t="s">
        <v>993</v>
      </c>
      <c r="H12" s="391"/>
      <c r="I12" s="21"/>
      <c r="J12" s="391"/>
      <c r="K12" s="21"/>
      <c r="L12" s="391"/>
      <c r="M12" s="21"/>
      <c r="O12" s="278"/>
    </row>
    <row r="13" spans="3:15" ht="15.75" customHeight="1">
      <c r="C13" s="9" t="s">
        <v>995</v>
      </c>
      <c r="H13" s="391">
        <f>IF(VLOOKUP(GAS!N13,'GAS ASCII'!$B$2:$C$200,2)&gt;=500000,VLOOKUP(GAS!N13,'GAS ASCII'!$B$2:$C$200,2)/1000000,IF(VLOOKUP(GAS!N13,'GAS ASCII'!$B$2:$C$200,2)&lt;=0,"……………….","*"))</f>
        <v>0.8014733399999999</v>
      </c>
      <c r="I13" s="21"/>
      <c r="J13" s="391" t="str">
        <f>IF(VLOOKUP(GAS!N13,'GAS ASCII'!$B$2:$D$200,3)&gt;=500000,VLOOKUP(GAS!N13,'GAS ASCII'!$B$2:$D$200,3)/-1000000,IF(VLOOKUP(GAS!N13,'GAS ASCII'!$B$2:$D$200,3)&lt;=0,"……………….","*"))</f>
        <v>……………….</v>
      </c>
      <c r="K13" s="27"/>
      <c r="L13" s="391">
        <f>IF(VLOOKUP(GAS!N13,'GAS ASCII'!$B$2:$E$200,4)&gt;=500000,VLOOKUP(GAS!N13,'GAS ASCII'!$B$2:$E$200,4)/1000000,IF(VLOOKUP(GAS!N13,'GAS ASCII'!$B$2:$E$200,4)&lt;=0,"……………….","*"))</f>
        <v>0.8014733399999999</v>
      </c>
      <c r="M13" s="21"/>
      <c r="N13" t="s">
        <v>876</v>
      </c>
      <c r="O13" s="278"/>
    </row>
    <row r="14" spans="3:15" ht="15.75" customHeight="1">
      <c r="C14" s="9"/>
      <c r="H14" s="391"/>
      <c r="I14" s="21"/>
      <c r="J14" s="391"/>
      <c r="K14" s="27"/>
      <c r="L14" s="391"/>
      <c r="M14" s="21"/>
      <c r="O14" s="278"/>
    </row>
    <row r="15" spans="3:15" ht="15.75" customHeight="1">
      <c r="C15" s="9" t="s">
        <v>1119</v>
      </c>
      <c r="H15" s="391">
        <f>IF(VLOOKUP(GAS!N15,'GAS ASCII'!$B$2:$C$200,2)&gt;=500000,VLOOKUP(GAS!N15,'GAS ASCII'!$B$2:$C$200,2)/1000000,IF(VLOOKUP(GAS!N15,'GAS ASCII'!$B$2:$C$200,2)&lt;=0,"……………….","*"))</f>
        <v>5.764</v>
      </c>
      <c r="I15" s="21"/>
      <c r="J15" s="391" t="str">
        <f>IF(VLOOKUP(GAS!N15,'GAS ASCII'!$B$2:$D$200,3)&gt;=500000,VLOOKUP(GAS!N15,'GAS ASCII'!$B$2:$D$200,3)/-1000000,IF(VLOOKUP(GAS!N15,'GAS ASCII'!$B$2:$D$200,3)&lt;=0,"……………….","*"))</f>
        <v>……………….</v>
      </c>
      <c r="K15" s="27"/>
      <c r="L15" s="391">
        <f>IF(VLOOKUP(GAS!N15,'GAS ASCII'!$B$2:$E$200,4)&gt;=500000,VLOOKUP(GAS!N15,'GAS ASCII'!$B$2:$E$200,4)/1000000,IF(VLOOKUP(GAS!N15,'GAS ASCII'!$B$2:$E$200,4)&lt;=0,"……………….","*"))</f>
        <v>5.764</v>
      </c>
      <c r="M15" s="21"/>
      <c r="N15" t="s">
        <v>878</v>
      </c>
      <c r="O15" s="278"/>
    </row>
    <row r="16" spans="3:15" ht="15.75" customHeight="1">
      <c r="C16" s="9"/>
      <c r="H16" s="391"/>
      <c r="I16" s="21"/>
      <c r="J16" s="391"/>
      <c r="K16" s="27"/>
      <c r="L16" s="391"/>
      <c r="M16" s="21"/>
      <c r="O16" s="278"/>
    </row>
    <row r="17" spans="3:15" ht="15.75" customHeight="1">
      <c r="C17" s="9" t="s">
        <v>1170</v>
      </c>
      <c r="H17" s="391">
        <f>IF(VLOOKUP(GAS!N17,'GAS ASCII'!$B$2:$C$200,2)&gt;=500000,VLOOKUP(GAS!N17,'GAS ASCII'!$B$2:$C$200,2)/1000000,IF(VLOOKUP(GAS!N17,'GAS ASCII'!$B$2:$C$200,2)&lt;=0,"……………….","*"))</f>
        <v>60.95</v>
      </c>
      <c r="I17" s="21"/>
      <c r="J17" s="391">
        <f>IF(VLOOKUP(GAS!N17,'GAS ASCII'!$B$2:$D$200,3)&gt;=500000,VLOOKUP(GAS!N17,'GAS ASCII'!$B$2:$D$200,3)/-1000000,IF(VLOOKUP(GAS!N17,'GAS ASCII'!$B$2:$D$200,3)&lt;=0,"……………….","*"))</f>
        <v>-31.622</v>
      </c>
      <c r="K17" s="21"/>
      <c r="L17" s="391">
        <f>IF(VLOOKUP(GAS!N17,'GAS ASCII'!$B$2:$E$200,4)&gt;=500000,VLOOKUP(GAS!N17,'GAS ASCII'!$B$2:$E$200,4)/1000000,IF(VLOOKUP(GAS!N17,'GAS ASCII'!$B$2:$E$200,4)&lt;=0,"……………….","*"))</f>
        <v>29.328</v>
      </c>
      <c r="M17" s="21"/>
      <c r="N17" t="s">
        <v>880</v>
      </c>
      <c r="O17" s="278"/>
    </row>
    <row r="18" spans="3:15" ht="15.75" customHeight="1">
      <c r="C18" s="9"/>
      <c r="H18" s="391"/>
      <c r="I18" s="21"/>
      <c r="J18" s="391"/>
      <c r="K18" s="21"/>
      <c r="L18" s="391"/>
      <c r="M18" s="21"/>
      <c r="O18" s="278"/>
    </row>
    <row r="19" spans="3:15" ht="15.75" customHeight="1">
      <c r="C19" s="9" t="s">
        <v>1220</v>
      </c>
      <c r="H19" s="391" t="str">
        <f>IF(VLOOKUP(GAS!N19,'GAS ASCII'!$B$2:$C$200,2)&gt;=500000,VLOOKUP(GAS!N19,'GAS ASCII'!$B$2:$C$200,2)/1000000,IF(VLOOKUP(GAS!N19,'GAS ASCII'!$B$2:$C$200,2)&lt;=0,"……………….","*"))</f>
        <v>*</v>
      </c>
      <c r="I19" s="21"/>
      <c r="J19" s="391" t="str">
        <f>IF(VLOOKUP(GAS!N19,'GAS ASCII'!$B$2:$D$200,3)&gt;=500000,VLOOKUP(GAS!N19,'GAS ASCII'!$B$2:$D$200,3)/-1000000,IF(VLOOKUP(GAS!N19,'GAS ASCII'!$B$2:$D$200,3)&lt;=0,"……………….","*"))</f>
        <v>……………….</v>
      </c>
      <c r="K19" s="27"/>
      <c r="L19" s="391" t="str">
        <f>IF(VLOOKUP(GAS!N19,'GAS ASCII'!$B$2:$E$200,4)&gt;=500000,VLOOKUP(GAS!N19,'GAS ASCII'!$B$2:$E$200,4)/1000000,IF(VLOOKUP(GAS!N19,'GAS ASCII'!$B$2:$E$200,4)&lt;=0,"……………….","*"))</f>
        <v>*</v>
      </c>
      <c r="M19" s="21"/>
      <c r="N19" t="s">
        <v>882</v>
      </c>
      <c r="O19" s="278"/>
    </row>
    <row r="20" spans="3:15" ht="15.75" customHeight="1">
      <c r="C20" s="9"/>
      <c r="H20" s="391"/>
      <c r="I20" s="21"/>
      <c r="J20" s="391"/>
      <c r="K20" s="27"/>
      <c r="L20" s="391"/>
      <c r="M20" s="21"/>
      <c r="O20" s="278"/>
    </row>
    <row r="21" spans="3:15" ht="15.75" customHeight="1">
      <c r="C21" s="9" t="s">
        <v>1104</v>
      </c>
      <c r="H21" s="391">
        <f>IF(VLOOKUP(GAS!N21,'GAS ASCII'!$B$2:$C$200,2)&gt;=500000,VLOOKUP(GAS!N21,'GAS ASCII'!$B$2:$C$200,2)/1000000,IF(VLOOKUP(GAS!N21,'GAS ASCII'!$B$2:$C$200,2)&lt;=0,"……………….","*"))</f>
        <v>23.47006631</v>
      </c>
      <c r="I21" s="21"/>
      <c r="J21" s="391" t="str">
        <f>IF(VLOOKUP(GAS!N21,'GAS ASCII'!$B$2:$D$200,3)&gt;=500000,VLOOKUP(GAS!N21,'GAS ASCII'!$B$2:$D$200,3)/-1000000,IF(VLOOKUP(GAS!N21,'GAS ASCII'!$B$2:$D$200,3)&lt;=0,"……………….","*"))</f>
        <v>……………….</v>
      </c>
      <c r="K21" s="3"/>
      <c r="L21" s="391">
        <f>IF(VLOOKUP(GAS!N21,'GAS ASCII'!$B$2:$E$200,4)&gt;=500000,VLOOKUP(GAS!N21,'GAS ASCII'!$B$2:$E$200,4)/1000000,IF(VLOOKUP(GAS!N21,'GAS ASCII'!$B$2:$E$200,4)&lt;=0,"……………….","*"))</f>
        <v>23.47006631</v>
      </c>
      <c r="M21" s="21"/>
      <c r="N21" t="s">
        <v>884</v>
      </c>
      <c r="O21" s="278"/>
    </row>
    <row r="22" spans="3:15" ht="15.75" customHeight="1">
      <c r="C22" s="9" t="s">
        <v>472</v>
      </c>
      <c r="H22" s="391">
        <f>IF(VLOOKUP(GAS!N22,'GAS ASCII'!$B$2:$C$200,2)&gt;=500000,VLOOKUP(GAS!N22,'GAS ASCII'!$B$2:$C$200,2)/1000000,IF(VLOOKUP(GAS!N22,'GAS ASCII'!$B$2:$C$200,2)&lt;=0,"……………….","*"))</f>
        <v>0.576</v>
      </c>
      <c r="I22" s="21"/>
      <c r="J22" s="391" t="str">
        <f>IF(VLOOKUP(GAS!N22,'GAS ASCII'!$B$2:$D$200,3)&gt;=500000,VLOOKUP(GAS!N22,'GAS ASCII'!$B$2:$D$200,3)/-1000000,IF(VLOOKUP(GAS!N22,'GAS ASCII'!$B$2:$D$200,3)&lt;=0,"……………….","*"))</f>
        <v>……………….</v>
      </c>
      <c r="K22" s="3"/>
      <c r="L22" s="391">
        <f>IF(VLOOKUP(GAS!N22,'GAS ASCII'!$B$2:$E$200,4)&gt;=500000,VLOOKUP(GAS!N22,'GAS ASCII'!$B$2:$E$200,4)/1000000,IF(VLOOKUP(GAS!N22,'GAS ASCII'!$B$2:$E$200,4)&lt;=0,"……………….","*"))</f>
        <v>0.576</v>
      </c>
      <c r="M22" s="21"/>
      <c r="N22" t="s">
        <v>461</v>
      </c>
      <c r="O22" s="278"/>
    </row>
    <row r="23" spans="3:15" ht="15.75" customHeight="1">
      <c r="C23" s="9"/>
      <c r="H23" s="391"/>
      <c r="I23" s="21"/>
      <c r="J23" s="391"/>
      <c r="K23" s="3"/>
      <c r="L23" s="391"/>
      <c r="M23" s="21"/>
      <c r="O23" s="278"/>
    </row>
    <row r="24" spans="3:15" ht="15.75" customHeight="1">
      <c r="C24" s="9" t="s">
        <v>629</v>
      </c>
      <c r="H24" s="391">
        <f>IF(VLOOKUP(GAS!N24,'GAS ASCII'!$B$2:$C$200,2)&gt;=500000,VLOOKUP(GAS!N24,'GAS ASCII'!$B$2:$C$200,2)/1000000,IF(VLOOKUP(GAS!N24,'GAS ASCII'!$B$2:$C$200,2)&lt;=0,"……………….","*"))</f>
        <v>35.139</v>
      </c>
      <c r="I24" s="21"/>
      <c r="J24" s="391" t="str">
        <f>IF(VLOOKUP(GAS!N24,'GAS ASCII'!$B$2:$D$200,3)&gt;=500000,VLOOKUP(GAS!N24,'GAS ASCII'!$B$2:$D$200,3)/-1000000,IF(VLOOKUP(GAS!N24,'GAS ASCII'!$B$2:$D$200,3)&lt;=0,"……………….","*"))</f>
        <v>……………….</v>
      </c>
      <c r="K24" s="3"/>
      <c r="L24" s="391">
        <f>IF(VLOOKUP(GAS!N24,'GAS ASCII'!$B$2:$E$200,4)&gt;=500000,VLOOKUP(GAS!N24,'GAS ASCII'!$B$2:$E$200,4)/1000000,IF(VLOOKUP(GAS!N24,'GAS ASCII'!$B$2:$E$200,4)&lt;=0,"……………….","*"))</f>
        <v>35.139</v>
      </c>
      <c r="M24" s="21"/>
      <c r="N24" t="s">
        <v>886</v>
      </c>
      <c r="O24" s="278"/>
    </row>
    <row r="25" spans="3:15" ht="15.75" customHeight="1">
      <c r="C25" s="131"/>
      <c r="H25" s="391"/>
      <c r="I25" s="21"/>
      <c r="J25" s="391"/>
      <c r="K25" s="27"/>
      <c r="L25" s="391"/>
      <c r="M25" s="21"/>
      <c r="O25" s="278"/>
    </row>
    <row r="26" spans="3:15" ht="15.75" customHeight="1">
      <c r="C26" s="9" t="s">
        <v>994</v>
      </c>
      <c r="H26" s="391">
        <f>IF(VLOOKUP(GAS!N26,'GAS ASCII'!$B$2:$C$200,2)&gt;=500000,VLOOKUP(GAS!N26,'GAS ASCII'!$B$2:$C$200,2)/1000000,IF(VLOOKUP(GAS!N26,'GAS ASCII'!$B$2:$C$200,2)&lt;=0,"……………….","*"))</f>
        <v>28.786</v>
      </c>
      <c r="I26" s="21"/>
      <c r="J26" s="391" t="str">
        <f>IF(VLOOKUP(GAS!N26,'GAS ASCII'!$B$2:$D$200,3)&gt;=500000,VLOOKUP(GAS!N26,'GAS ASCII'!$B$2:$D$200,3)/-1000000,IF(VLOOKUP(GAS!N26,'GAS ASCII'!$B$2:$D$200,3)&lt;=0,"……………….","*"))</f>
        <v>……………….</v>
      </c>
      <c r="K26" s="3"/>
      <c r="L26" s="391">
        <f>IF(VLOOKUP(GAS!N26,'GAS ASCII'!$B$2:$E$200,4)&gt;=500000,VLOOKUP(GAS!N26,'GAS ASCII'!$B$2:$E$200,4)/1000000,IF(VLOOKUP(GAS!N26,'GAS ASCII'!$B$2:$E$200,4)&lt;=0,"……………….","*"))</f>
        <v>28.786</v>
      </c>
      <c r="M26" s="21"/>
      <c r="N26" t="s">
        <v>303</v>
      </c>
      <c r="O26" s="278"/>
    </row>
    <row r="27" spans="3:15" ht="15.75" customHeight="1">
      <c r="C27" s="131"/>
      <c r="H27" s="391"/>
      <c r="I27" s="21"/>
      <c r="J27" s="391"/>
      <c r="K27" s="27"/>
      <c r="L27" s="391"/>
      <c r="M27" s="21"/>
      <c r="O27" s="278"/>
    </row>
    <row r="28" spans="3:15" ht="15.75" customHeight="1">
      <c r="C28" s="9" t="s">
        <v>857</v>
      </c>
      <c r="H28" s="391"/>
      <c r="I28" s="21"/>
      <c r="J28" s="391"/>
      <c r="K28" s="21"/>
      <c r="L28" s="391"/>
      <c r="M28" s="21"/>
      <c r="O28" s="278"/>
    </row>
    <row r="29" spans="3:15" ht="15.75" customHeight="1">
      <c r="C29" s="9" t="s">
        <v>630</v>
      </c>
      <c r="H29" s="391">
        <f>IF(VLOOKUP(GAS!N29,'GAS ASCII'!$B$2:$C$200,2)&gt;=500000,VLOOKUP(GAS!N29,'GAS ASCII'!$B$2:$C$200,2)/1000000,IF(VLOOKUP(GAS!N29,'GAS ASCII'!$B$2:$C$200,2)&lt;=0,"……………….","*"))</f>
        <v>251.317</v>
      </c>
      <c r="I29" s="21"/>
      <c r="J29" s="391" t="str">
        <f>IF(VLOOKUP(GAS!N29,'GAS ASCII'!$B$2:$D$200,3)&gt;=500000,VLOOKUP(GAS!N29,'GAS ASCII'!$B$2:$D$200,3)/-1000000,IF(VLOOKUP(GAS!N29,'GAS ASCII'!$B$2:$D$200,3)&lt;=0,"……………….","*"))</f>
        <v>……………….</v>
      </c>
      <c r="K29" s="27"/>
      <c r="L29" s="391">
        <f>IF(VLOOKUP(GAS!N29,'GAS ASCII'!$B$2:$E$200,4)&gt;=500000,VLOOKUP(GAS!N29,'GAS ASCII'!$B$2:$E$200,4)/1000000,IF(VLOOKUP(GAS!N29,'GAS ASCII'!$B$2:$E$200,4)&lt;=0,"……………….","*"))</f>
        <v>251.317</v>
      </c>
      <c r="M29" s="21"/>
      <c r="N29" t="s">
        <v>305</v>
      </c>
      <c r="O29" s="278"/>
    </row>
    <row r="30" spans="3:15" ht="15.75" customHeight="1">
      <c r="C30" s="9"/>
      <c r="H30" s="391"/>
      <c r="I30" s="21"/>
      <c r="J30" s="391"/>
      <c r="K30" s="27"/>
      <c r="L30" s="391"/>
      <c r="M30" s="21"/>
      <c r="O30" s="278"/>
    </row>
    <row r="31" spans="3:15" ht="15.75" customHeight="1">
      <c r="C31" s="9" t="s">
        <v>243</v>
      </c>
      <c r="H31" s="391">
        <f>IF(VLOOKUP(GAS!N31,'GAS ASCII'!$B$2:$C$200,2)&gt;=500000,VLOOKUP(GAS!N31,'GAS ASCII'!$B$2:$C$200,2)/1000000,IF(VLOOKUP(GAS!N31,'GAS ASCII'!$B$2:$C$200,2)&lt;=0,"……………….","*"))</f>
        <v>587.579</v>
      </c>
      <c r="I31" s="21"/>
      <c r="J31" s="391" t="str">
        <f>IF(VLOOKUP(GAS!N31,'GAS ASCII'!$B$2:$D$200,3)&gt;=500000,VLOOKUP(GAS!N31,'GAS ASCII'!$B$2:$D$200,3)/-1000000,IF(VLOOKUP(GAS!N31,'GAS ASCII'!$B$2:$D$200,3)&lt;=0,"……………….","*"))</f>
        <v>……………….</v>
      </c>
      <c r="K31" s="27"/>
      <c r="L31" s="391">
        <f>IF(VLOOKUP(GAS!N31,'GAS ASCII'!$B$2:$E$200,4)&gt;=500000,VLOOKUP(GAS!N31,'GAS ASCII'!$B$2:$E$200,4)/1000000,IF(VLOOKUP(GAS!N31,'GAS ASCII'!$B$2:$E$200,4)&lt;=0,"……………….","*"))</f>
        <v>587.579</v>
      </c>
      <c r="M31" s="21"/>
      <c r="N31" t="s">
        <v>307</v>
      </c>
      <c r="O31" s="278"/>
    </row>
    <row r="32" spans="3:15" ht="15.75" customHeight="1">
      <c r="C32" s="9" t="s">
        <v>631</v>
      </c>
      <c r="H32" s="391">
        <f>IF(VLOOKUP(GAS!N32,'GAS ASCII'!$B$2:$C$200,2)&gt;=500000,VLOOKUP(GAS!N32,'GAS ASCII'!$B$2:$C$200,2)/1000000,IF(VLOOKUP(GAS!N32,'GAS ASCII'!$B$2:$C$200,2)&lt;=0,"……………….","*"))</f>
        <v>1</v>
      </c>
      <c r="I32" s="21"/>
      <c r="J32" s="391" t="str">
        <f>IF(VLOOKUP(GAS!N32,'GAS ASCII'!$B$2:$D$200,3)&gt;=500000,VLOOKUP(GAS!N32,'GAS ASCII'!$B$2:$D$200,3)/-1000000,IF(VLOOKUP(GAS!N32,'GAS ASCII'!$B$2:$D$200,3)&lt;=0,"……………….","*"))</f>
        <v>……………….</v>
      </c>
      <c r="K32" s="27"/>
      <c r="L32" s="391">
        <f>IF(VLOOKUP(GAS!N32,'GAS ASCII'!$B$2:$E$200,4)&gt;=500000,VLOOKUP(GAS!N32,'GAS ASCII'!$B$2:$E$200,4)/1000000,IF(VLOOKUP(GAS!N32,'GAS ASCII'!$B$2:$E$200,4)&lt;=0,"……………….","*"))</f>
        <v>1</v>
      </c>
      <c r="M32" s="21"/>
      <c r="N32" t="s">
        <v>309</v>
      </c>
      <c r="O32" s="278"/>
    </row>
    <row r="33" spans="3:15" ht="15.75" customHeight="1">
      <c r="C33" s="9" t="s">
        <v>1221</v>
      </c>
      <c r="H33" s="391">
        <f>IF(VLOOKUP(GAS!N33,'GAS ASCII'!$B$2:$C$200,2)&gt;=500000,VLOOKUP(GAS!N33,'GAS ASCII'!$B$2:$C$200,2)/1000000,IF(VLOOKUP(GAS!N33,'GAS ASCII'!$B$2:$C$200,2)&lt;=0,"……………….","*"))</f>
        <v>765.78</v>
      </c>
      <c r="I33" s="21"/>
      <c r="J33" s="391" t="str">
        <f>IF(VLOOKUP(GAS!N33,'GAS ASCII'!$B$2:$D$200,3)&gt;=500000,VLOOKUP(GAS!N33,'GAS ASCII'!$B$2:$D$200,3)/-1000000,IF(VLOOKUP(GAS!N33,'GAS ASCII'!$B$2:$D$200,3)&lt;=0,"……………….","*"))</f>
        <v>……………….</v>
      </c>
      <c r="K33" s="27"/>
      <c r="L33" s="391">
        <f>IF(VLOOKUP(GAS!N33,'GAS ASCII'!$B$2:$E$200,4)&gt;=500000,VLOOKUP(GAS!N33,'GAS ASCII'!$B$2:$E$200,4)/1000000,IF(VLOOKUP(GAS!N33,'GAS ASCII'!$B$2:$E$200,4)&lt;=0,"……………….","*"))</f>
        <v>765.78</v>
      </c>
      <c r="M33" s="21"/>
      <c r="N33" t="s">
        <v>311</v>
      </c>
      <c r="O33" s="278"/>
    </row>
    <row r="34" spans="3:15" ht="15.75" customHeight="1">
      <c r="C34" s="9"/>
      <c r="H34" s="391"/>
      <c r="I34" s="21"/>
      <c r="J34" s="391"/>
      <c r="K34" s="27"/>
      <c r="L34" s="391"/>
      <c r="M34" s="21"/>
      <c r="O34" s="278"/>
    </row>
    <row r="35" spans="3:15" ht="15.75" customHeight="1">
      <c r="C35" s="9" t="s">
        <v>911</v>
      </c>
      <c r="H35" s="391">
        <f>IF(VLOOKUP(GAS!N35,'GAS ASCII'!$B$2:$C$200,2)&gt;=500000,VLOOKUP(GAS!N35,'GAS ASCII'!$B$2:$C$200,2)/1000000,IF(VLOOKUP(GAS!N35,'GAS ASCII'!$B$2:$C$200,2)&lt;=0,"……………….","*"))</f>
        <v>54691.701</v>
      </c>
      <c r="I35" s="21"/>
      <c r="J35" s="391" t="str">
        <f>IF(VLOOKUP(GAS!N35,'GAS ASCII'!$B$2:$D$200,3)&gt;=500000,VLOOKUP(GAS!N35,'GAS ASCII'!$B$2:$D$200,3)/-1000000,IF(VLOOKUP(GAS!N35,'GAS ASCII'!$B$2:$D$200,3)&lt;=0,"……………….","*"))</f>
        <v>……………….</v>
      </c>
      <c r="K35" s="27"/>
      <c r="L35" s="391">
        <f>IF(VLOOKUP(GAS!N35,'GAS ASCII'!$B$2:$E$200,4)&gt;=500000,VLOOKUP(GAS!N35,'GAS ASCII'!$B$2:$E$200,4)/1000000,IF(VLOOKUP(GAS!N35,'GAS ASCII'!$B$2:$E$200,4)&lt;=0,"……………….","*"))</f>
        <v>54691.701</v>
      </c>
      <c r="M35" s="21"/>
      <c r="N35" t="s">
        <v>313</v>
      </c>
      <c r="O35" s="278"/>
    </row>
    <row r="36" spans="3:15" ht="15.75" customHeight="1">
      <c r="C36" s="9" t="s">
        <v>1226</v>
      </c>
      <c r="H36" s="391">
        <f>IF(VLOOKUP(GAS!N36,'GAS ASCII'!$B$2:$C$200,2)&gt;=500000,VLOOKUP(GAS!N36,'GAS ASCII'!$B$2:$C$200,2)/1000000,IF(VLOOKUP(GAS!N36,'GAS ASCII'!$B$2:$C$200,2)&lt;=0,"……………….","*"))</f>
        <v>22.48545279</v>
      </c>
      <c r="I36" s="21"/>
      <c r="J36" s="391" t="str">
        <f>IF(VLOOKUP(GAS!N36,'GAS ASCII'!$B$2:$D$200,3)&gt;=500000,VLOOKUP(GAS!N36,'GAS ASCII'!$B$2:$D$200,3)/-1000000,IF(VLOOKUP(GAS!N36,'GAS ASCII'!$B$2:$D$200,3)&lt;=0,"……………….","*"))</f>
        <v>……………….</v>
      </c>
      <c r="K36" s="27"/>
      <c r="L36" s="391">
        <f>IF(VLOOKUP(GAS!N36,'GAS ASCII'!$B$2:$E$200,4)&gt;=500000,VLOOKUP(GAS!N36,'GAS ASCII'!$B$2:$E$200,4)/1000000,IF(VLOOKUP(GAS!N36,'GAS ASCII'!$B$2:$E$200,4)&lt;=0,"……………….","*"))</f>
        <v>22.48545279</v>
      </c>
      <c r="M36" s="21"/>
      <c r="N36" t="s">
        <v>315</v>
      </c>
      <c r="O36" s="278"/>
    </row>
    <row r="37" spans="3:15" ht="15.75" customHeight="1">
      <c r="C37" s="9"/>
      <c r="H37" s="391"/>
      <c r="I37" s="21"/>
      <c r="J37" s="391"/>
      <c r="K37" s="27"/>
      <c r="L37" s="391"/>
      <c r="M37" s="21"/>
      <c r="O37" s="278"/>
    </row>
    <row r="38" spans="3:15" ht="15.75" customHeight="1">
      <c r="C38" s="9" t="s">
        <v>779</v>
      </c>
      <c r="H38" s="391">
        <f>IF(VLOOKUP(GAS!N38,'GAS ASCII'!$B$2:$C$200,2)&gt;=500000,VLOOKUP(GAS!N38,'GAS ASCII'!$B$2:$C$200,2)/1000000,IF(VLOOKUP(GAS!N38,'GAS ASCII'!$B$2:$C$200,2)&lt;=0,"……………….","*"))</f>
        <v>4.022</v>
      </c>
      <c r="I38" s="21"/>
      <c r="J38" s="391" t="str">
        <f>IF(VLOOKUP(GAS!N38,'GAS ASCII'!$B$2:$D$200,3)&gt;=500000,VLOOKUP(GAS!N38,'GAS ASCII'!$B$2:$D$200,3)/-1000000,IF(VLOOKUP(GAS!N38,'GAS ASCII'!$B$2:$D$200,3)&lt;=0,"……………….","*"))</f>
        <v>……………….</v>
      </c>
      <c r="K38" s="27"/>
      <c r="L38" s="391">
        <f>IF(VLOOKUP(GAS!N38,'GAS ASCII'!$B$2:$E$200,4)&gt;=500000,VLOOKUP(GAS!N38,'GAS ASCII'!$B$2:$E$200,4)/1000000,IF(VLOOKUP(GAS!N38,'GAS ASCII'!$B$2:$E$200,4)&lt;=0,"……………….","*"))</f>
        <v>4.022</v>
      </c>
      <c r="M38" s="21"/>
      <c r="N38" t="s">
        <v>317</v>
      </c>
      <c r="O38" s="278"/>
    </row>
    <row r="39" spans="3:15" ht="15.75" customHeight="1">
      <c r="C39" s="9" t="s">
        <v>451</v>
      </c>
      <c r="H39" s="391">
        <f>IF(VLOOKUP(GAS!N39,'GAS ASCII'!$B$2:$C$200,2)&gt;=500000,VLOOKUP(GAS!N39,'GAS ASCII'!$B$2:$C$200,2)/1000000,IF(VLOOKUP(GAS!N39,'GAS ASCII'!$B$2:$C$200,2)&lt;=0,"……………….","*"))</f>
        <v>75.329</v>
      </c>
      <c r="I39" s="21"/>
      <c r="J39" s="391" t="str">
        <f>IF(VLOOKUP(GAS!N39,'GAS ASCII'!$B$2:$D$200,3)&gt;=500000,VLOOKUP(GAS!N39,'GAS ASCII'!$B$2:$D$200,3)/-1000000,IF(VLOOKUP(GAS!N39,'GAS ASCII'!$B$2:$D$200,3)&lt;=0,"……………….","*"))</f>
        <v>……………….</v>
      </c>
      <c r="K39" s="27"/>
      <c r="L39" s="391">
        <f>IF(VLOOKUP(GAS!N39,'GAS ASCII'!$B$2:$E$200,4)&gt;=500000,VLOOKUP(GAS!N39,'GAS ASCII'!$B$2:$E$200,4)/1000000,IF(VLOOKUP(GAS!N39,'GAS ASCII'!$B$2:$E$200,4)&lt;=0,"……………….","*"))</f>
        <v>75.329</v>
      </c>
      <c r="M39" s="21"/>
      <c r="N39" t="s">
        <v>517</v>
      </c>
      <c r="O39" s="278"/>
    </row>
    <row r="40" spans="3:15" ht="15.75" customHeight="1">
      <c r="C40" s="9" t="s">
        <v>1145</v>
      </c>
      <c r="H40" s="391">
        <f>IF(VLOOKUP(GAS!N40,'GAS ASCII'!$B$2:$C$200,2)&gt;=500000,VLOOKUP(GAS!N40,'GAS ASCII'!$B$2:$C$200,2)/1000000,IF(VLOOKUP(GAS!N40,'GAS ASCII'!$B$2:$C$200,2)&lt;=0,"……………….","*"))</f>
        <v>376.91</v>
      </c>
      <c r="I40" s="21"/>
      <c r="J40" s="391" t="str">
        <f>IF(VLOOKUP(GAS!N40,'GAS ASCII'!$B$2:$D$200,3)&gt;=500000,VLOOKUP(GAS!N40,'GAS ASCII'!$B$2:$D$200,3)/-1000000,IF(VLOOKUP(GAS!N40,'GAS ASCII'!$B$2:$D$200,3)&lt;=0,"……………….","*"))</f>
        <v>……………….</v>
      </c>
      <c r="K40" s="27"/>
      <c r="L40" s="391">
        <f>IF(VLOOKUP(GAS!N40,'GAS ASCII'!$B$2:$E$200,4)&gt;=500000,VLOOKUP(GAS!N40,'GAS ASCII'!$B$2:$E$200,4)/1000000,IF(VLOOKUP(GAS!N40,'GAS ASCII'!$B$2:$E$200,4)&lt;=0,"……………….","*"))</f>
        <v>376.91</v>
      </c>
      <c r="M40" s="21"/>
      <c r="N40" t="s">
        <v>1138</v>
      </c>
      <c r="O40" s="278"/>
    </row>
    <row r="41" spans="3:15" ht="15.75" customHeight="1">
      <c r="C41" s="9"/>
      <c r="H41" s="391"/>
      <c r="I41" s="21"/>
      <c r="J41" s="391"/>
      <c r="K41" s="27"/>
      <c r="L41" s="391"/>
      <c r="M41" s="21"/>
      <c r="O41" s="278"/>
    </row>
    <row r="42" spans="3:15" ht="15.75" customHeight="1">
      <c r="C42" s="9" t="s">
        <v>781</v>
      </c>
      <c r="H42" s="391">
        <f>IF(VLOOKUP(GAS!N42,'GAS ASCII'!$B$2:$C$200,2)&gt;=500000,VLOOKUP(GAS!N42,'GAS ASCII'!$B$2:$C$200,2)/1000000,IF(VLOOKUP(GAS!N42,'GAS ASCII'!$B$2:$C$200,2)&lt;=0,"……………….","*"))</f>
        <v>1.593</v>
      </c>
      <c r="I42" s="21"/>
      <c r="J42" s="391" t="str">
        <f>IF(VLOOKUP(GAS!N42,'GAS ASCII'!$B$2:$D$200,3)&gt;=500000,VLOOKUP(GAS!N42,'GAS ASCII'!$B$2:$D$200,3)/-1000000,IF(VLOOKUP(GAS!N42,'GAS ASCII'!$B$2:$D$200,3)&lt;=0,"……………….","*"))</f>
        <v>……………….</v>
      </c>
      <c r="K42" s="27"/>
      <c r="L42" s="391">
        <f>IF(VLOOKUP(GAS!N42,'GAS ASCII'!$B$2:$E$200,4)&gt;=500000,VLOOKUP(GAS!N42,'GAS ASCII'!$B$2:$E$200,4)/1000000,IF(VLOOKUP(GAS!N42,'GAS ASCII'!$B$2:$E$200,4)&lt;=0,"……………….","*"))</f>
        <v>1.593</v>
      </c>
      <c r="M42" s="21"/>
      <c r="N42" t="s">
        <v>319</v>
      </c>
      <c r="O42" s="278"/>
    </row>
    <row r="43" spans="2:15" s="77" customFormat="1" ht="15.75" customHeight="1">
      <c r="B43" s="77" t="s">
        <v>444</v>
      </c>
      <c r="C43" s="381"/>
      <c r="H43" s="360">
        <f>SUM(H10:H42)</f>
        <v>57315.70349777</v>
      </c>
      <c r="I43" s="361"/>
      <c r="J43" s="360">
        <f>SUM(J8:J42)</f>
        <v>-33.683</v>
      </c>
      <c r="K43" s="362"/>
      <c r="L43" s="360">
        <f>SUM(L8:L42)</f>
        <v>57282.020497770005</v>
      </c>
      <c r="M43" s="361"/>
      <c r="O43" s="382"/>
    </row>
    <row r="44" spans="2:15" s="77" customFormat="1" ht="15.75" customHeight="1">
      <c r="B44" s="77" t="s">
        <v>470</v>
      </c>
      <c r="C44" s="381"/>
      <c r="H44" s="360">
        <v>11.62</v>
      </c>
      <c r="I44" s="361"/>
      <c r="J44" s="391" t="str">
        <f>IF(VLOOKUP(GAS!N44,'GAS ASCII'!$B$2:$D$200,3)&gt;=500000,VLOOKUP(GAS!N44,'GAS ASCII'!$B$2:$D$200,3)/-1000000,IF(VLOOKUP(GAS!N44,'GAS ASCII'!$B$2:$D$200,3)&lt;=0,"……………….","*"))</f>
        <v>……………….</v>
      </c>
      <c r="K44" s="362"/>
      <c r="L44" s="360">
        <f>+H44</f>
        <v>11.62</v>
      </c>
      <c r="M44" s="361"/>
      <c r="O44" s="382"/>
    </row>
    <row r="45" spans="2:15" s="77" customFormat="1" ht="15.75" customHeight="1" thickBot="1">
      <c r="B45" s="77" t="s">
        <v>471</v>
      </c>
      <c r="C45" s="381"/>
      <c r="H45" s="425">
        <f>+H44+H43</f>
        <v>57327.323497770005</v>
      </c>
      <c r="I45" s="426"/>
      <c r="J45" s="425">
        <f>+J44+J43</f>
        <v>-33.683</v>
      </c>
      <c r="K45" s="427"/>
      <c r="L45" s="425">
        <f>+L44+L43</f>
        <v>57293.64049777001</v>
      </c>
      <c r="M45" s="426"/>
      <c r="O45" s="382"/>
    </row>
    <row r="46" spans="3:15" ht="15.75" customHeight="1" thickTop="1">
      <c r="C46" s="131"/>
      <c r="H46" s="51"/>
      <c r="I46" s="21"/>
      <c r="J46" s="47"/>
      <c r="K46" s="27"/>
      <c r="L46" s="51"/>
      <c r="M46" s="21"/>
      <c r="O46" s="278"/>
    </row>
    <row r="47" spans="2:15" ht="15.75" customHeight="1">
      <c r="B47" t="s">
        <v>51</v>
      </c>
      <c r="C47" s="131"/>
      <c r="H47" s="51"/>
      <c r="I47" s="21"/>
      <c r="J47" s="47"/>
      <c r="K47" s="27"/>
      <c r="L47" s="51"/>
      <c r="M47" s="21"/>
      <c r="O47" s="278"/>
    </row>
    <row r="48" spans="3:15" ht="15.75" customHeight="1">
      <c r="C48" s="9" t="s">
        <v>1060</v>
      </c>
      <c r="H48" s="40"/>
      <c r="I48" s="21"/>
      <c r="J48" s="40"/>
      <c r="K48" s="21"/>
      <c r="L48" s="40"/>
      <c r="M48" s="21"/>
      <c r="O48" s="278"/>
    </row>
    <row r="49" spans="3:15" ht="15.75" customHeight="1">
      <c r="C49" s="9" t="s">
        <v>115</v>
      </c>
      <c r="H49" s="391">
        <f>IF(VLOOKUP(GAS!N49,'GAS ASCII'!$B$2:$C$200,2)&gt;=500000,VLOOKUP(GAS!N49,'GAS ASCII'!$B$2:$C$200,2)/1000000,IF(VLOOKUP(GAS!N49,'GAS ASCII'!$B$2:$C$200,2)&lt;=0,"……………….","*"))</f>
        <v>1994.04354081</v>
      </c>
      <c r="I49" s="21"/>
      <c r="J49" s="391" t="str">
        <f>IF(VLOOKUP(GAS!N49,'GAS ASCII'!$B$2:$D$200,3)&gt;=500000,VLOOKUP(GAS!N49,'GAS ASCII'!$B$2:$D$200,3)/-1000000,IF(VLOOKUP(GAS!N49,'GAS ASCII'!$B$2:$D$200,3)&lt;=0,"……………….","*"))</f>
        <v>……………….</v>
      </c>
      <c r="K49" s="27"/>
      <c r="L49" s="391">
        <f>IF(VLOOKUP(GAS!N49,'GAS ASCII'!$B$2:$E$200,4)&gt;=500000,VLOOKUP(GAS!N49,'GAS ASCII'!$B$2:$E$200,4)/1000000,IF(VLOOKUP(GAS!N49,'GAS ASCII'!$B$2:$E$200,4)&lt;=0,"……………….","*"))</f>
        <v>1994.04354081</v>
      </c>
      <c r="M49" s="41"/>
      <c r="N49" t="s">
        <v>321</v>
      </c>
      <c r="O49" s="278"/>
    </row>
    <row r="50" spans="3:15" ht="15.75" customHeight="1">
      <c r="C50" s="9" t="s">
        <v>121</v>
      </c>
      <c r="H50" s="391">
        <f>IF(VLOOKUP(GAS!N50,'GAS ASCII'!$B$2:$C$200,2)&gt;=500000,VLOOKUP(GAS!N50,'GAS ASCII'!$B$2:$C$200,2)/1000000,IF(VLOOKUP(GAS!N50,'GAS ASCII'!$B$2:$C$200,2)&lt;=0,"……………….","*"))</f>
        <v>11933.652</v>
      </c>
      <c r="I50" s="21" t="s">
        <v>859</v>
      </c>
      <c r="J50" s="391">
        <f>IF(VLOOKUP(GAS!N50,'GAS ASCII'!$B$2:$D$200,3)&gt;=500000,VLOOKUP(GAS!N50,'GAS ASCII'!$B$2:$D$200,3)/-1000000,IF(VLOOKUP(GAS!N50,'GAS ASCII'!$B$2:$D$200,3)&lt;=0,"……………….","*"))</f>
        <v>-778.436</v>
      </c>
      <c r="K50" s="181"/>
      <c r="L50" s="391">
        <f>IF(VLOOKUP(GAS!N50,'GAS ASCII'!$B$2:$E$200,4)&gt;=500000,VLOOKUP(GAS!N50,'GAS ASCII'!$B$2:$E$200,4)/1000000,IF(VLOOKUP(GAS!N50,'GAS ASCII'!$B$2:$E$200,4)&lt;=0,"……………….","*"))</f>
        <v>11155.216</v>
      </c>
      <c r="M50" s="21"/>
      <c r="N50" t="s">
        <v>323</v>
      </c>
      <c r="O50" s="278"/>
    </row>
    <row r="51" spans="3:15" ht="15.75" customHeight="1">
      <c r="C51" s="9" t="s">
        <v>122</v>
      </c>
      <c r="H51" s="391">
        <f>IF(VLOOKUP(GAS!N51,'GAS ASCII'!$B$2:$C$200,2)&gt;=500000,VLOOKUP(GAS!N51,'GAS ASCII'!$B$2:$C$200,2)/1000000,IF(VLOOKUP(GAS!N51,'GAS ASCII'!$B$2:$C$200,2)&lt;=0,"……………….","*"))</f>
        <v>1.083</v>
      </c>
      <c r="I51" s="21"/>
      <c r="J51" s="391" t="str">
        <f>IF(VLOOKUP(GAS!N51,'GAS ASCII'!$B$2:$D$200,3)&gt;=500000,VLOOKUP(GAS!N51,'GAS ASCII'!$B$2:$D$200,3)/-1000000,IF(VLOOKUP(GAS!N51,'GAS ASCII'!$B$2:$D$200,3)&lt;=0,"……………….","*"))</f>
        <v>……………….</v>
      </c>
      <c r="K51" s="27"/>
      <c r="L51" s="391">
        <f>IF(VLOOKUP(GAS!N51,'GAS ASCII'!$B$2:$E$200,4)&gt;=500000,VLOOKUP(GAS!N51,'GAS ASCII'!$B$2:$E$200,4)/1000000,IF(VLOOKUP(GAS!N51,'GAS ASCII'!$B$2:$E$200,4)&lt;=0,"……………….","*"))</f>
        <v>1.083</v>
      </c>
      <c r="M51" s="21"/>
      <c r="N51" t="s">
        <v>325</v>
      </c>
      <c r="O51" s="278"/>
    </row>
    <row r="52" spans="3:15" ht="15.75" customHeight="1">
      <c r="C52" s="9" t="s">
        <v>1018</v>
      </c>
      <c r="H52" s="391">
        <f>IF(VLOOKUP(GAS!N52,'GAS ASCII'!$B$2:$C$200,2)&gt;=500000,VLOOKUP(GAS!N52,'GAS ASCII'!$B$2:$C$200,2)/1000000,IF(VLOOKUP(GAS!N52,'GAS ASCII'!$B$2:$C$200,2)&lt;=0,"……………….","*"))</f>
        <v>1407.572</v>
      </c>
      <c r="I52" s="21"/>
      <c r="J52" s="391" t="str">
        <f>IF(VLOOKUP(GAS!N52,'GAS ASCII'!$B$2:$D$200,3)&gt;=500000,VLOOKUP(GAS!N52,'GAS ASCII'!$B$2:$D$200,3)/1000000,IF(VLOOKUP(GAS!N52,'GAS ASCII'!$B$2:$D$200,3)&lt;=0,"……………….","*"))</f>
        <v>……………….</v>
      </c>
      <c r="K52" s="27"/>
      <c r="L52" s="391">
        <f>IF(VLOOKUP(GAS!N52,'GAS ASCII'!$B$2:$E$200,4)&gt;=500000,VLOOKUP(GAS!N52,'GAS ASCII'!$B$2:$E$200,4)/1000000,IF(VLOOKUP(GAS!N52,'GAS ASCII'!$B$2:$E$200,4)&lt;=0,"……………….","*"))</f>
        <v>1407.572</v>
      </c>
      <c r="M52" s="21"/>
      <c r="N52" t="s">
        <v>327</v>
      </c>
      <c r="O52" s="278"/>
    </row>
    <row r="53" spans="3:15" ht="15.75" customHeight="1">
      <c r="C53" s="9" t="s">
        <v>532</v>
      </c>
      <c r="H53" s="391">
        <f>IF(VLOOKUP(GAS!N53,'GAS ASCII'!$B$2:$C$200,2)&gt;=500000,VLOOKUP(GAS!N53,'GAS ASCII'!$B$2:$C$200,2)/1000000,IF(VLOOKUP(GAS!N53,'GAS ASCII'!$B$2:$C$200,2)&lt;=0,"……………….","*"))</f>
        <v>87.31169819</v>
      </c>
      <c r="I53" s="21"/>
      <c r="J53" s="391" t="str">
        <f>IF(VLOOKUP(GAS!N53,'GAS ASCII'!$B$2:$D$200,3)&gt;=500000,VLOOKUP(GAS!N53,'GAS ASCII'!$B$2:$D$200,3)/-1000000,IF(VLOOKUP(GAS!N53,'GAS ASCII'!$B$2:$D$200,3)&lt;=0,"……………….","*"))</f>
        <v>……………….</v>
      </c>
      <c r="K53" s="27"/>
      <c r="L53" s="391">
        <f>IF(VLOOKUP(GAS!N53,'GAS ASCII'!$B$2:$E$200,4)&gt;=500000,VLOOKUP(GAS!N53,'GAS ASCII'!$B$2:$E$200,4)/1000000,IF(VLOOKUP(GAS!N53,'GAS ASCII'!$B$2:$E$200,4)&lt;=0,"……………….","*"))</f>
        <v>87.31169819</v>
      </c>
      <c r="M53" s="21"/>
      <c r="N53" t="s">
        <v>329</v>
      </c>
      <c r="O53" s="278"/>
    </row>
    <row r="54" spans="3:15" ht="15.75" customHeight="1">
      <c r="C54" s="9" t="s">
        <v>273</v>
      </c>
      <c r="H54" s="391">
        <f>IF(VLOOKUP(GAS!N54,'GAS ASCII'!$B$2:$C$200,2)&gt;=500000,VLOOKUP(GAS!N54,'GAS ASCII'!$B$2:$C$200,2)/1000000,IF(VLOOKUP(GAS!N54,'GAS ASCII'!$B$2:$C$200,2)&lt;=0,"……………….","*"))</f>
        <v>364.941</v>
      </c>
      <c r="I54" s="21"/>
      <c r="J54" s="391" t="str">
        <f>IF(VLOOKUP(GAS!N54,'GAS ASCII'!$B$2:$D$200,3)&gt;=500000,VLOOKUP(GAS!N54,'GAS ASCII'!$B$2:$D$200,3)/-1000000,IF(VLOOKUP(GAS!N54,'GAS ASCII'!$B$2:$D$200,3)&lt;=0,"……………….","*"))</f>
        <v>……………….</v>
      </c>
      <c r="K54" s="27"/>
      <c r="L54" s="391">
        <f>IF(VLOOKUP(GAS!N54,'GAS ASCII'!$B$2:$E$200,4)&gt;=500000,VLOOKUP(GAS!N54,'GAS ASCII'!$B$2:$E$200,4)/1000000,IF(VLOOKUP(GAS!N54,'GAS ASCII'!$B$2:$E$200,4)&lt;=0,"……………….","*"))</f>
        <v>364.941</v>
      </c>
      <c r="M54" s="21"/>
      <c r="N54" t="s">
        <v>331</v>
      </c>
      <c r="O54" s="278"/>
    </row>
    <row r="55" spans="3:15" ht="15.75" customHeight="1">
      <c r="C55" s="9" t="s">
        <v>479</v>
      </c>
      <c r="H55" s="391">
        <f>IF(VLOOKUP(GAS!N55,'GAS ASCII'!$B$2:$C$200,2)&gt;=500000,VLOOKUP(GAS!N55,'GAS ASCII'!$B$2:$C$200,2)/1000000,IF(VLOOKUP(GAS!N55,'GAS ASCII'!$B$2:$C$200,2)&lt;=0,"……………….","*"))</f>
        <v>578.022</v>
      </c>
      <c r="I55" s="21"/>
      <c r="J55" s="391" t="str">
        <f>IF(VLOOKUP(GAS!N55,'GAS ASCII'!$B$2:$D$200,3)&gt;=500000,VLOOKUP(GAS!N55,'GAS ASCII'!$B$2:$D$200,3)/-1000000,IF(VLOOKUP(GAS!N55,'GAS ASCII'!$B$2:$D$200,3)&lt;=0,"……………….","*"))</f>
        <v>……………….</v>
      </c>
      <c r="K55" s="27"/>
      <c r="L55" s="391">
        <f>IF(VLOOKUP(GAS!N55,'GAS ASCII'!$B$2:$E$200,4)&gt;=500000,VLOOKUP(GAS!N55,'GAS ASCII'!$B$2:$E$200,4)/1000000,IF(VLOOKUP(GAS!N55,'GAS ASCII'!$B$2:$E$200,4)&lt;=0,"……………….","*"))</f>
        <v>578.022</v>
      </c>
      <c r="M55" s="21"/>
      <c r="N55" t="s">
        <v>333</v>
      </c>
      <c r="O55" s="278"/>
    </row>
    <row r="56" spans="3:15" ht="15.75" customHeight="1">
      <c r="C56" s="9" t="s">
        <v>223</v>
      </c>
      <c r="H56" s="391">
        <f>IF(VLOOKUP(GAS!N56,'GAS ASCII'!$B$2:$C$200,2)&gt;=500000,VLOOKUP(GAS!N56,'GAS ASCII'!$B$2:$C$200,2)/1000000,IF(VLOOKUP(GAS!N56,'GAS ASCII'!$B$2:$C$200,2)&lt;=0,"……………….","*"))</f>
        <v>351.488</v>
      </c>
      <c r="I56" s="21"/>
      <c r="J56" s="391" t="str">
        <f>IF(VLOOKUP(GAS!N56,'GAS ASCII'!$B$2:$D$200,3)&gt;=500000,VLOOKUP(GAS!N56,'GAS ASCII'!$B$2:$D$200,3)/-1000000,IF(VLOOKUP(GAS!N56,'GAS ASCII'!$B$2:$D$200,3)&lt;=0,"……………….","*"))</f>
        <v>……………….</v>
      </c>
      <c r="K56" s="27"/>
      <c r="L56" s="391">
        <f>IF(VLOOKUP(GAS!N56,'GAS ASCII'!$B$2:$E$200,4)&gt;=500000,VLOOKUP(GAS!N56,'GAS ASCII'!$B$2:$E$200,4)/1000000,IF(VLOOKUP(GAS!N56,'GAS ASCII'!$B$2:$E$200,4)&lt;=0,"……………….","*"))</f>
        <v>351.488</v>
      </c>
      <c r="M56" s="21"/>
      <c r="N56" t="s">
        <v>335</v>
      </c>
      <c r="O56" s="278"/>
    </row>
    <row r="57" spans="8:15" ht="15.75" customHeight="1">
      <c r="H57" s="391"/>
      <c r="I57" s="21"/>
      <c r="J57" s="391"/>
      <c r="K57" s="21"/>
      <c r="L57" s="391"/>
      <c r="M57" s="21"/>
      <c r="O57" s="278"/>
    </row>
    <row r="58" spans="3:15" ht="15.75" customHeight="1">
      <c r="C58" s="9" t="s">
        <v>352</v>
      </c>
      <c r="H58" s="391">
        <f>IF(VLOOKUP(GAS!N58,'GAS ASCII'!$B$2:$C$200,2)&gt;=500000,VLOOKUP(GAS!N58,'GAS ASCII'!$B$2:$C$200,2)/1000000,IF(VLOOKUP(GAS!N58,'GAS ASCII'!$B$2:$C$200,2)&lt;=0,"……………….","*"))</f>
        <v>33442.47945</v>
      </c>
      <c r="I58" s="21"/>
      <c r="J58" s="391">
        <f>IF(VLOOKUP(GAS!N58,'GAS ASCII'!$B$2:$D$200,3)&gt;=500000,VLOOKUP(GAS!N58,'GAS ASCII'!$B$2:$D$200,3)/-1000000,IF(VLOOKUP(GAS!N58,'GAS ASCII'!$B$2:$D$200,3)&lt;=0,"……………….","*"))</f>
        <v>-1480</v>
      </c>
      <c r="K58" s="27"/>
      <c r="L58" s="391">
        <f>IF(VLOOKUP(GAS!N58,'GAS ASCII'!$B$2:$E$200,4)&gt;=500000,VLOOKUP(GAS!N58,'GAS ASCII'!$B$2:$E$200,4)/1000000,IF(VLOOKUP(GAS!N58,'GAS ASCII'!$B$2:$E$200,4)&lt;=0,"……………….","*"))</f>
        <v>31962.47945</v>
      </c>
      <c r="M58" s="21"/>
      <c r="N58" t="s">
        <v>337</v>
      </c>
      <c r="O58" s="278"/>
    </row>
    <row r="59" spans="2:15" ht="15.75" customHeight="1">
      <c r="B59" s="159"/>
      <c r="C59" s="9" t="s">
        <v>1074</v>
      </c>
      <c r="D59" s="77"/>
      <c r="H59" s="391">
        <f>IF(VLOOKUP(GAS!N59,'GAS ASCII'!$B$2:$C$200,2)&gt;=500000,VLOOKUP(GAS!N59,'GAS ASCII'!$B$2:$C$200,2)/1000000,IF(VLOOKUP(GAS!N59,'GAS ASCII'!$B$2:$C$200,2)&lt;=0,"……………….","*"))</f>
        <v>0.739</v>
      </c>
      <c r="I59" s="21"/>
      <c r="J59" s="391" t="str">
        <f>IF(VLOOKUP(GAS!N59,'GAS ASCII'!$B$2:$D$200,3)&gt;=500000,VLOOKUP(GAS!N59,'GAS ASCII'!$B$2:$D$200,3)/-1000000,IF(VLOOKUP(GAS!N59,'GAS ASCII'!$B$2:$D$200,3)&lt;=0,"……………….","*"))</f>
        <v>……………….</v>
      </c>
      <c r="K59" s="27"/>
      <c r="L59" s="391">
        <f>IF(VLOOKUP(GAS!N59,'GAS ASCII'!$B$2:$E$200,4)&gt;=500000,VLOOKUP(GAS!N59,'GAS ASCII'!$B$2:$E$200,4)/1000000,IF(VLOOKUP(GAS!N59,'GAS ASCII'!$B$2:$E$200,4)&lt;=0,"……………….","*"))</f>
        <v>0.739</v>
      </c>
      <c r="M59" s="21"/>
      <c r="N59" t="s">
        <v>339</v>
      </c>
      <c r="O59" s="278"/>
    </row>
    <row r="60" spans="3:15" ht="15.75" customHeight="1">
      <c r="C60" s="9" t="s">
        <v>1088</v>
      </c>
      <c r="H60" s="391">
        <f>IF(VLOOKUP(GAS!N60,'GAS ASCII'!$B$2:$C$200,2)&gt;=500000,VLOOKUP(GAS!N60,'GAS ASCII'!$B$2:$C$200,2)/1000000,IF(VLOOKUP(GAS!N60,'GAS ASCII'!$B$2:$C$200,2)&lt;=0,"……………….","*"))</f>
        <v>1.677</v>
      </c>
      <c r="I60" s="21"/>
      <c r="J60" s="391" t="str">
        <f>IF(VLOOKUP(GAS!N60,'GAS ASCII'!$B$2:$D$200,3)&gt;=500000,VLOOKUP(GAS!N60,'GAS ASCII'!$B$2:$D$200,3)/-1000000,IF(VLOOKUP(GAS!N60,'GAS ASCII'!$B$2:$D$200,3)&lt;=0,"……………….","*"))</f>
        <v>……………….</v>
      </c>
      <c r="K60" s="27"/>
      <c r="L60" s="391">
        <f>IF(VLOOKUP(GAS!N60,'GAS ASCII'!$B$2:$E$200,4)&gt;=500000,VLOOKUP(GAS!N60,'GAS ASCII'!$B$2:$E$200,4)/1000000,IF(VLOOKUP(GAS!N60,'GAS ASCII'!$B$2:$E$200,4)&lt;=0,"……………….","*"))</f>
        <v>1.677</v>
      </c>
      <c r="M60" s="120"/>
      <c r="N60" t="s">
        <v>340</v>
      </c>
      <c r="O60" s="278"/>
    </row>
    <row r="61" spans="3:15" ht="15.75" customHeight="1">
      <c r="C61" s="9" t="s">
        <v>392</v>
      </c>
      <c r="H61" s="391"/>
      <c r="I61" s="21"/>
      <c r="J61" s="391"/>
      <c r="K61" s="27"/>
      <c r="L61" s="391"/>
      <c r="M61" s="120"/>
      <c r="O61" s="278"/>
    </row>
    <row r="62" spans="3:15" ht="15.75" customHeight="1">
      <c r="C62" s="9" t="s">
        <v>1173</v>
      </c>
      <c r="H62" s="391" t="str">
        <f>IF(VLOOKUP(GAS!N62,'GAS ASCII'!$B$2:$C$200,2)&gt;=500000,VLOOKUP(GAS!N62,'GAS ASCII'!$B$2:$C$200,2)/1000000,IF(VLOOKUP(GAS!N62,'GAS ASCII'!$B$2:$C$200,2)&lt;=0,"……………….","*"))</f>
        <v>*</v>
      </c>
      <c r="I62" s="21"/>
      <c r="J62" s="391" t="str">
        <f>IF(VLOOKUP(GAS!N62,'GAS ASCII'!$B$2:$D$200,3)&gt;=500000,VLOOKUP(GAS!N62,'GAS ASCII'!$B$2:$D$200,3)/-1000000,IF(VLOOKUP(GAS!N62,'GAS ASCII'!$B$2:$D$200,3)&lt;=0,"……………….","*"))</f>
        <v>……………….</v>
      </c>
      <c r="K62" s="27"/>
      <c r="L62" s="391" t="str">
        <f>IF(VLOOKUP(GAS!N62,'GAS ASCII'!$B$2:$E$200,4)&gt;=500000,VLOOKUP(GAS!N62,'GAS ASCII'!$B$2:$E$200,4)/1000000,IF(VLOOKUP(GAS!N62,'GAS ASCII'!$B$2:$E$200,4)&lt;=0,"……………….","*"))</f>
        <v>*</v>
      </c>
      <c r="M62" s="120"/>
      <c r="N62" t="s">
        <v>441</v>
      </c>
      <c r="O62" s="278"/>
    </row>
    <row r="63" spans="8:15" ht="15.75" customHeight="1">
      <c r="H63" s="391"/>
      <c r="I63" s="108"/>
      <c r="J63" s="391"/>
      <c r="K63" s="27"/>
      <c r="L63" s="391"/>
      <c r="M63" s="21"/>
      <c r="O63" s="278"/>
    </row>
    <row r="64" spans="3:15" ht="15.75" customHeight="1">
      <c r="C64" s="9" t="s">
        <v>1026</v>
      </c>
      <c r="H64" s="391">
        <f>IF(VLOOKUP(GAS!N64,'GAS ASCII'!$B$2:$C$200,2)&gt;=500000,VLOOKUP(GAS!N64,'GAS ASCII'!$B$2:$C$200,2)/1000000,IF(VLOOKUP(GAS!N64,'GAS ASCII'!$B$2:$C$200,2)&lt;=0,"……………….","*"))</f>
        <v>72.588</v>
      </c>
      <c r="I64" s="21"/>
      <c r="J64" s="391" t="str">
        <f>IF(VLOOKUP(GAS!N64,'GAS ASCII'!$B$2:$D$200,3)&gt;=500000,VLOOKUP(GAS!N64,'GAS ASCII'!$B$2:$D$200,3)/-1000000,IF(VLOOKUP(GAS!N64,'GAS ASCII'!$B$2:$D$200,3)&lt;=0,"……………….","*"))</f>
        <v>……………….</v>
      </c>
      <c r="K64" s="27"/>
      <c r="L64" s="391">
        <f>IF(VLOOKUP(GAS!N64,'GAS ASCII'!$B$2:$E$200,4)&gt;=500000,VLOOKUP(GAS!N64,'GAS ASCII'!$B$2:$E$200,4)/1000000,IF(VLOOKUP(GAS!N64,'GAS ASCII'!$B$2:$E$200,4)&lt;=0,"……………….","*"))</f>
        <v>72.588</v>
      </c>
      <c r="M64" s="21"/>
      <c r="N64" t="s">
        <v>913</v>
      </c>
      <c r="O64" s="278"/>
    </row>
    <row r="65" spans="3:15" ht="15.75" customHeight="1">
      <c r="C65" s="9" t="s">
        <v>393</v>
      </c>
      <c r="H65" s="391"/>
      <c r="I65" s="21"/>
      <c r="J65" s="391"/>
      <c r="K65" s="27"/>
      <c r="L65" s="391"/>
      <c r="M65" s="21"/>
      <c r="O65" s="278"/>
    </row>
    <row r="66" spans="3:15" ht="15.75" customHeight="1">
      <c r="C66" s="9" t="s">
        <v>445</v>
      </c>
      <c r="H66" s="391">
        <f>IF(VLOOKUP(GAS!N66,'GAS ASCII'!$B$2:$C$200,2)&gt;=500000,VLOOKUP(GAS!N66,'GAS ASCII'!$B$2:$C$200,2)/1000000,IF(VLOOKUP(GAS!N66,'GAS ASCII'!$B$2:$C$200,2)&lt;=0,"……………….","*"))</f>
        <v>23.896248510000003</v>
      </c>
      <c r="I66" s="21"/>
      <c r="J66" s="391" t="str">
        <f>IF(VLOOKUP(GAS!N66,'GAS ASCII'!$B$2:$D$200,3)&gt;=500000,VLOOKUP(GAS!N66,'GAS ASCII'!$B$2:$D$200,3)/-1000000,IF(VLOOKUP(GAS!N66,'GAS ASCII'!$B$2:$D$200,3)&lt;=0,"……………….","*"))</f>
        <v>……………….</v>
      </c>
      <c r="K66" s="27"/>
      <c r="L66" s="391">
        <f>IF(VLOOKUP(GAS!N66,'GAS ASCII'!$B$2:$E$200,4)&gt;=500000,VLOOKUP(GAS!N66,'GAS ASCII'!$B$2:$E$200,4)/1000000,IF(VLOOKUP(GAS!N66,'GAS ASCII'!$B$2:$E$200,4)&lt;=0,"……………….","*"))</f>
        <v>23.896248510000003</v>
      </c>
      <c r="M66" s="120"/>
      <c r="N66" t="s">
        <v>915</v>
      </c>
      <c r="O66" s="278"/>
    </row>
    <row r="67" spans="3:15" ht="15.75" customHeight="1">
      <c r="C67" s="9" t="s">
        <v>558</v>
      </c>
      <c r="H67" s="391"/>
      <c r="I67" s="21"/>
      <c r="J67" s="391"/>
      <c r="K67" s="21"/>
      <c r="L67" s="391"/>
      <c r="M67" s="21"/>
      <c r="O67" s="278"/>
    </row>
    <row r="68" spans="3:15" ht="15.75" customHeight="1">
      <c r="C68" s="9" t="s">
        <v>1146</v>
      </c>
      <c r="H68" s="391">
        <f>IF(VLOOKUP(GAS!N68,'GAS ASCII'!$B$2:$C$200,2)&gt;=500000,VLOOKUP(GAS!N68,'GAS ASCII'!$B$2:$C$200,2)/1000000,IF(VLOOKUP(GAS!N68,'GAS ASCII'!$B$2:$C$200,2)&lt;=0,"……………….","*"))</f>
        <v>2.71</v>
      </c>
      <c r="I68" s="21"/>
      <c r="J68" s="391" t="str">
        <f>IF(VLOOKUP(GAS!N68,'GAS ASCII'!$B$2:$D$200,3)&gt;=500000,VLOOKUP(GAS!N68,'GAS ASCII'!$B$2:$D$200,3)/-1000000,IF(VLOOKUP(GAS!N68,'GAS ASCII'!$B$2:$D$200,3)&lt;=0,"……………….","*"))</f>
        <v>……………….</v>
      </c>
      <c r="K68" s="27"/>
      <c r="L68" s="391">
        <f>IF(VLOOKUP(GAS!N68,'GAS ASCII'!$B$2:$E$200,4)&gt;=500000,VLOOKUP(GAS!N68,'GAS ASCII'!$B$2:$E$200,4)/1000000,IF(VLOOKUP(GAS!N68,'GAS ASCII'!$B$2:$E$200,4)&lt;=0,"……………….","*"))</f>
        <v>2.71</v>
      </c>
      <c r="M68" s="21"/>
      <c r="N68" t="s">
        <v>917</v>
      </c>
      <c r="O68" s="278"/>
    </row>
    <row r="69" spans="3:15" ht="15.75" customHeight="1">
      <c r="C69" s="9" t="s">
        <v>99</v>
      </c>
      <c r="H69" s="391">
        <f>IF(VLOOKUP(GAS!N69,'GAS ASCII'!$B$2:$C$200,2)&gt;=500000,VLOOKUP(GAS!N69,'GAS ASCII'!$B$2:$C$200,2)/1000000,IF(VLOOKUP(GAS!N69,'GAS ASCII'!$B$2:$C$200,2)&lt;=0,"……………….","*"))</f>
        <v>716494.59960098</v>
      </c>
      <c r="I69" s="21"/>
      <c r="J69" s="391">
        <f>IF(VLOOKUP(GAS!N69,'GAS ASCII'!$B$2:$D$200,3)&gt;=500000,VLOOKUP(GAS!N69,'GAS ASCII'!$B$2:$D$200,3)/-1000000,IF(VLOOKUP(GAS!N69,'GAS ASCII'!$B$2:$D$200,3)&lt;=0,"……………….","*"))</f>
        <v>-105728.74860097999</v>
      </c>
      <c r="K69" s="21"/>
      <c r="L69" s="391">
        <f>IF(VLOOKUP(GAS!N69,'GAS ASCII'!$B$2:$E$200,4)&gt;=500000,VLOOKUP(GAS!N69,'GAS ASCII'!$B$2:$E$200,4)/1000000,IF(VLOOKUP(GAS!N69,'GAS ASCII'!$B$2:$E$200,4)&lt;=0,"……………….","*"))</f>
        <v>610765.851</v>
      </c>
      <c r="M69" s="21"/>
      <c r="N69" t="s">
        <v>919</v>
      </c>
      <c r="O69" s="278"/>
    </row>
    <row r="70" spans="3:15" ht="15.75" customHeight="1">
      <c r="C70" s="9" t="s">
        <v>1087</v>
      </c>
      <c r="H70" s="391">
        <f>IF(VLOOKUP(GAS!N70,'GAS ASCII'!$B$2:$C$200,2)&gt;=500000,VLOOKUP(GAS!N70,'GAS ASCII'!$B$2:$C$200,2)/1000000,IF(VLOOKUP(GAS!N70,'GAS ASCII'!$B$2:$C$200,2)&lt;=0,"……………….","*"))</f>
        <v>12.054</v>
      </c>
      <c r="I70" s="21"/>
      <c r="J70" s="391" t="str">
        <f>IF(VLOOKUP(GAS!N70,'GAS ASCII'!$B$2:$D$200,3)&gt;=500000,VLOOKUP(GAS!N70,'GAS ASCII'!$B$2:$D$200,3)/-1000000,IF(VLOOKUP(GAS!N70,'GAS ASCII'!$B$2:$D$200,3)&lt;=0,"……………….","*"))</f>
        <v>……………….</v>
      </c>
      <c r="K70" s="27"/>
      <c r="L70" s="391">
        <f>IF(VLOOKUP(GAS!N70,'GAS ASCII'!$B$2:$E$200,4)&gt;=500000,VLOOKUP(GAS!N70,'GAS ASCII'!$B$2:$E$200,4)/1000000,IF(VLOOKUP(GAS!N70,'GAS ASCII'!$B$2:$E$200,4)&lt;=0,"……………….","*"))</f>
        <v>12.054</v>
      </c>
      <c r="M70" s="21"/>
      <c r="N70" t="s">
        <v>921</v>
      </c>
      <c r="O70" s="278"/>
    </row>
    <row r="71" spans="3:15" ht="15.75" customHeight="1">
      <c r="C71" s="9" t="s">
        <v>204</v>
      </c>
      <c r="H71" s="391">
        <f>IF(VLOOKUP(GAS!N71,'GAS ASCII'!$B$2:$C$200,2)&gt;=500000,VLOOKUP(GAS!N71,'GAS ASCII'!$B$2:$C$200,2)/1000000,IF(VLOOKUP(GAS!N71,'GAS ASCII'!$B$2:$C$200,2)&lt;=0,"……………….","*"))</f>
        <v>1.27</v>
      </c>
      <c r="I71" s="21"/>
      <c r="J71" s="391" t="str">
        <f>IF(VLOOKUP(GAS!N71,'GAS ASCII'!$B$2:$D$200,3)&gt;=500000,VLOOKUP(GAS!N71,'GAS ASCII'!$B$2:$D$200,3)/-1000000,IF(VLOOKUP(GAS!N71,'GAS ASCII'!$B$2:$D$200,3)&lt;=0,"……………….","*"))</f>
        <v>……………….</v>
      </c>
      <c r="K71" s="27"/>
      <c r="L71" s="391">
        <f>IF(VLOOKUP(GAS!N71,'GAS ASCII'!$B$2:$E$200,4)&gt;=500000,VLOOKUP(GAS!N71,'GAS ASCII'!$B$2:$E$200,4)/1000000,IF(VLOOKUP(GAS!N71,'GAS ASCII'!$B$2:$E$200,4)&lt;=0,"……………….","*"))</f>
        <v>1.27</v>
      </c>
      <c r="M71" s="21"/>
      <c r="N71" t="s">
        <v>922</v>
      </c>
      <c r="O71" s="278"/>
    </row>
    <row r="72" spans="3:15" ht="15.75" customHeight="1">
      <c r="C72" s="9" t="s">
        <v>30</v>
      </c>
      <c r="H72" s="391"/>
      <c r="I72" s="21"/>
      <c r="J72" s="391"/>
      <c r="K72" s="27"/>
      <c r="L72" s="391"/>
      <c r="M72" s="21"/>
      <c r="O72" s="278"/>
    </row>
    <row r="73" spans="3:15" ht="15.75" customHeight="1">
      <c r="C73" s="9" t="s">
        <v>229</v>
      </c>
      <c r="H73" s="391">
        <f>IF(VLOOKUP(GAS!N73,'GAS ASCII'!$B$2:$C$200,2)&gt;=500000,VLOOKUP(GAS!N73,'GAS ASCII'!$B$2:$C$200,2)/1000000,IF(VLOOKUP(GAS!N73,'GAS ASCII'!$B$2:$C$200,2)&lt;=0,"……………….","*"))</f>
        <v>9.317</v>
      </c>
      <c r="I73" s="21"/>
      <c r="J73" s="391" t="str">
        <f>IF(VLOOKUP(GAS!N73,'GAS ASCII'!$B$2:$D$200,3)&gt;=500000,VLOOKUP(GAS!N73,'GAS ASCII'!$B$2:$D$200,3)/-1000000,IF(VLOOKUP(GAS!N73,'GAS ASCII'!$B$2:$D$200,3)&lt;=0,"……………….","*"))</f>
        <v>……………….</v>
      </c>
      <c r="K73" s="27"/>
      <c r="L73" s="391">
        <f>IF(VLOOKUP(GAS!N73,'GAS ASCII'!$B$2:$E$200,4)&gt;=500000,VLOOKUP(GAS!N73,'GAS ASCII'!$B$2:$E$200,4)/1000000,IF(VLOOKUP(GAS!N73,'GAS ASCII'!$B$2:$E$200,4)&lt;=0,"……………….","*"))</f>
        <v>9.317</v>
      </c>
      <c r="M73" s="21"/>
      <c r="N73" t="s">
        <v>924</v>
      </c>
      <c r="O73" s="278"/>
    </row>
    <row r="74" spans="3:15" ht="15.75" customHeight="1">
      <c r="C74" s="9" t="s">
        <v>83</v>
      </c>
      <c r="H74" s="391">
        <f>IF(VLOOKUP(GAS!N74,'GAS ASCII'!$B$2:$C$200,2)&gt;=500000,VLOOKUP(GAS!N74,'GAS ASCII'!$B$2:$C$200,2)/1000000,IF(VLOOKUP(GAS!N74,'GAS ASCII'!$B$2:$C$200,2)&lt;=0,"……………….","*"))</f>
        <v>4</v>
      </c>
      <c r="I74" s="21"/>
      <c r="J74" s="391" t="str">
        <f>IF(VLOOKUP(GAS!N74,'GAS ASCII'!$B$2:$D$200,3)&gt;=500000,VLOOKUP(GAS!N74,'GAS ASCII'!$B$2:$D$200,3)/-1000000,IF(VLOOKUP(GAS!N74,'GAS ASCII'!$B$2:$D$200,3)&lt;=0,"……………….","*"))</f>
        <v>……………….</v>
      </c>
      <c r="K74" s="27"/>
      <c r="L74" s="391">
        <f>IF(VLOOKUP(GAS!N74,'GAS ASCII'!$B$2:$E$200,4)&gt;=500000,VLOOKUP(GAS!N74,'GAS ASCII'!$B$2:$E$200,4)/1000000,IF(VLOOKUP(GAS!N74,'GAS ASCII'!$B$2:$E$200,4)&lt;=0,"……………….","*"))</f>
        <v>4</v>
      </c>
      <c r="M74" s="120"/>
      <c r="N74" t="s">
        <v>926</v>
      </c>
      <c r="O74" s="278"/>
    </row>
    <row r="75" spans="3:15" ht="15.75" customHeight="1">
      <c r="C75" s="9" t="s">
        <v>188</v>
      </c>
      <c r="H75" s="391">
        <f>IF(VLOOKUP(GAS!N75,'GAS ASCII'!$B$2:$C$200,2)&gt;=500000,VLOOKUP(GAS!N75,'GAS ASCII'!$B$2:$C$200,2)/1000000,IF(VLOOKUP(GAS!N75,'GAS ASCII'!$B$2:$C$200,2)&lt;=0,"……………….","*"))</f>
        <v>20.708</v>
      </c>
      <c r="I75" s="21"/>
      <c r="J75" s="391" t="str">
        <f>IF(VLOOKUP(GAS!N75,'GAS ASCII'!$B$2:$D$200,3)&gt;=500000,VLOOKUP(GAS!N75,'GAS ASCII'!$B$2:$D$200,3)/-1000000,IF(VLOOKUP(GAS!N75,'GAS ASCII'!$B$2:$D$200,3)&lt;=0,"……………….","*"))</f>
        <v>……………….</v>
      </c>
      <c r="K75" s="27"/>
      <c r="L75" s="391">
        <f>IF(VLOOKUP(GAS!N75,'GAS ASCII'!$B$2:$E$200,4)&gt;=500000,VLOOKUP(GAS!N75,'GAS ASCII'!$B$2:$E$200,4)/1000000,IF(VLOOKUP(GAS!N75,'GAS ASCII'!$B$2:$E$200,4)&lt;=0,"……………….","*"))</f>
        <v>20.708</v>
      </c>
      <c r="M75" s="21"/>
      <c r="N75" t="s">
        <v>928</v>
      </c>
      <c r="O75" s="278"/>
    </row>
    <row r="76" spans="3:15" ht="15.75" customHeight="1">
      <c r="C76" s="9" t="s">
        <v>191</v>
      </c>
      <c r="H76" s="391">
        <f>IF(VLOOKUP(GAS!N76,'GAS ASCII'!$B$2:$C$200,2)&gt;=500000,VLOOKUP(GAS!N76,'GAS ASCII'!$B$2:$C$200,2)/1000000,IF(VLOOKUP(GAS!N76,'GAS ASCII'!$B$2:$C$200,2)&lt;=0,"……………….","*"))</f>
        <v>10.014</v>
      </c>
      <c r="I76" s="21"/>
      <c r="J76" s="391" t="str">
        <f>IF(VLOOKUP(GAS!N76,'GAS ASCII'!$B$2:$D$200,3)&gt;=500000,VLOOKUP(GAS!N76,'GAS ASCII'!$B$2:$D$200,3)/-1000000,IF(VLOOKUP(GAS!N76,'GAS ASCII'!$B$2:$D$200,3)&lt;=0,"……………….","*"))</f>
        <v>……………….</v>
      </c>
      <c r="K76" s="27"/>
      <c r="L76" s="391">
        <f>IF(VLOOKUP(GAS!N76,'GAS ASCII'!$B$2:$E$200,4)&gt;=500000,VLOOKUP(GAS!N76,'GAS ASCII'!$B$2:$E$200,4)/1000000,IF(VLOOKUP(GAS!N76,'GAS ASCII'!$B$2:$E$200,4)&lt;=0,"……………….","*"))</f>
        <v>10.014</v>
      </c>
      <c r="M76" s="21"/>
      <c r="N76" t="s">
        <v>930</v>
      </c>
      <c r="O76" s="278"/>
    </row>
    <row r="77" spans="3:15" ht="15.75" customHeight="1">
      <c r="C77" s="9"/>
      <c r="H77" s="391"/>
      <c r="I77" s="21"/>
      <c r="J77" s="391"/>
      <c r="K77" s="27"/>
      <c r="L77" s="391"/>
      <c r="M77" s="21"/>
      <c r="O77" s="278"/>
    </row>
    <row r="78" spans="3:15" ht="15.75" customHeight="1">
      <c r="C78" s="9" t="s">
        <v>710</v>
      </c>
      <c r="H78" s="391" t="str">
        <f>IF(VLOOKUP(GAS!N78,'GAS ASCII'!$B$2:$C$200,2)&gt;=500000,VLOOKUP(GAS!N78,'GAS ASCII'!$B$2:$C$200,2)/1000000,IF(VLOOKUP(GAS!N78,'GAS ASCII'!$B$2:$C$200,2)&lt;=0,"……………….","*"))</f>
        <v>*</v>
      </c>
      <c r="I78" s="384"/>
      <c r="J78" s="391" t="str">
        <f>IF(VLOOKUP(GAS!N78,'GAS ASCII'!$B$2:$D$200,3)&gt;=500000,VLOOKUP(GAS!N78,'GAS ASCII'!$B$2:$D$200,3)/-1000000,IF(VLOOKUP(GAS!N78,'GAS ASCII'!$B$2:$D$200,3)&lt;=0,"……………….","*"))</f>
        <v>……………….</v>
      </c>
      <c r="K78" s="27"/>
      <c r="L78" s="391" t="str">
        <f>IF(VLOOKUP(GAS!N78,'GAS ASCII'!$B$2:$E$200,4)&gt;=500000,VLOOKUP(GAS!N78,'GAS ASCII'!$B$2:$E$200,4)/1000000,IF(VLOOKUP(GAS!N78,'GAS ASCII'!$B$2:$E$200,4)&lt;=0,"……………….","*"))</f>
        <v>*</v>
      </c>
      <c r="M78" s="21"/>
      <c r="N78" t="s">
        <v>1140</v>
      </c>
      <c r="O78" s="278"/>
    </row>
    <row r="79" spans="3:15" ht="15.75" customHeight="1">
      <c r="C79" s="9" t="s">
        <v>846</v>
      </c>
      <c r="H79" s="391">
        <f>IF(VLOOKUP(GAS!N79,'GAS ASCII'!$B$2:$C$200,2)&gt;=500000,VLOOKUP(GAS!N79,'GAS ASCII'!$B$2:$C$200,2)/1000000,IF(VLOOKUP(GAS!N79,'GAS ASCII'!$B$2:$C$200,2)&lt;=0,"……………….","*"))</f>
        <v>972.6430717100001</v>
      </c>
      <c r="I79" s="384"/>
      <c r="J79" s="391" t="str">
        <f>IF(VLOOKUP(GAS!N79,'GAS ASCII'!$B$2:$D$200,3)&gt;=500000,VLOOKUP(GAS!N79,'GAS ASCII'!$B$2:$D$200,3)/-1000000,IF(VLOOKUP(GAS!N79,'GAS ASCII'!$B$2:$D$200,3)&lt;=0,"……………….","*"))</f>
        <v>……………….</v>
      </c>
      <c r="K79" s="27"/>
      <c r="L79" s="391">
        <f>IF(VLOOKUP(GAS!N79,'GAS ASCII'!$B$2:$E$200,4)&gt;=500000,VLOOKUP(GAS!N79,'GAS ASCII'!$B$2:$E$200,4)/1000000,IF(VLOOKUP(GAS!N79,'GAS ASCII'!$B$2:$E$200,4)&lt;=0,"……………….","*"))</f>
        <v>972.6430717100001</v>
      </c>
      <c r="M79" s="21"/>
      <c r="N79" t="s">
        <v>932</v>
      </c>
      <c r="O79" s="278"/>
    </row>
    <row r="80" spans="3:15" ht="15.75" customHeight="1">
      <c r="C80" s="9" t="s">
        <v>709</v>
      </c>
      <c r="H80" s="391">
        <f>IF(VLOOKUP(GAS!N80,'GAS ASCII'!$B$2:$C$200,2)&gt;=500000,VLOOKUP(GAS!N80,'GAS ASCII'!$B$2:$C$200,2)/1000000,IF(VLOOKUP(GAS!N80,'GAS ASCII'!$B$2:$C$200,2)&lt;=0,"……………….","*"))</f>
        <v>34982.69683247</v>
      </c>
      <c r="I80" s="384"/>
      <c r="J80" s="391" t="str">
        <f>IF(VLOOKUP(GAS!N80,'GAS ASCII'!$B$2:$D$200,3)&gt;=500000,VLOOKUP(GAS!N80,'GAS ASCII'!$B$2:$D$200,3)/-1000000,IF(VLOOKUP(GAS!N80,'GAS ASCII'!$B$2:$D$200,3)&lt;=0,"……………….","*"))</f>
        <v>……………….</v>
      </c>
      <c r="K80" s="27"/>
      <c r="L80" s="391">
        <f>IF(VLOOKUP(GAS!N80,'GAS ASCII'!$B$2:$E$200,4)&gt;=500000,VLOOKUP(GAS!N80,'GAS ASCII'!$B$2:$E$200,4)/1000000,IF(VLOOKUP(GAS!N80,'GAS ASCII'!$B$2:$E$200,4)&lt;=0,"……………….","*"))</f>
        <v>34982.69683247</v>
      </c>
      <c r="M80" s="21"/>
      <c r="N80" t="s">
        <v>934</v>
      </c>
      <c r="O80" s="278"/>
    </row>
    <row r="81" spans="3:15" ht="15.75" customHeight="1">
      <c r="C81" s="9" t="s">
        <v>167</v>
      </c>
      <c r="H81" s="391">
        <f>IF(VLOOKUP(GAS!N81,'GAS ASCII'!$B$2:$C$200,2)&gt;=500000,VLOOKUP(GAS!N81,'GAS ASCII'!$B$2:$C$200,2)/1000000,IF(VLOOKUP(GAS!N81,'GAS ASCII'!$B$2:$C$200,2)&lt;=0,"……………….","*"))</f>
        <v>183779.32300456</v>
      </c>
      <c r="I81" s="384"/>
      <c r="J81" s="391">
        <f>IF(VLOOKUP(GAS!N81,'GAS ASCII'!$B$2:$D$200,3)&gt;=500000,VLOOKUP(GAS!N81,'GAS ASCII'!$B$2:$D$200,3)/-1000000,IF(VLOOKUP(GAS!N81,'GAS ASCII'!$B$2:$D$200,3)&lt;=0,"……………….","*"))</f>
        <v>-5000.25</v>
      </c>
      <c r="K81" s="21"/>
      <c r="L81" s="391">
        <f>IF(VLOOKUP(GAS!N81,'GAS ASCII'!$B$2:$E$200,4)&gt;=500000,VLOOKUP(GAS!N81,'GAS ASCII'!$B$2:$E$200,4)/1000000,IF(VLOOKUP(GAS!N81,'GAS ASCII'!$B$2:$E$200,4)&lt;=0,"……………….","*"))</f>
        <v>178779.07300456</v>
      </c>
      <c r="M81" s="21"/>
      <c r="N81" t="s">
        <v>936</v>
      </c>
      <c r="O81" s="278"/>
    </row>
    <row r="82" spans="3:15" ht="15.75" customHeight="1">
      <c r="C82" s="9" t="s">
        <v>168</v>
      </c>
      <c r="H82" s="391">
        <f>IF(VLOOKUP(GAS!N82,'GAS ASCII'!$B$2:$C$200,2)&gt;=500000,VLOOKUP(GAS!N82,'GAS ASCII'!$B$2:$C$200,2)/1000000,IF(VLOOKUP(GAS!N82,'GAS ASCII'!$B$2:$C$200,2)&lt;=0,"……………….","*"))</f>
        <v>0.708</v>
      </c>
      <c r="I82" s="21"/>
      <c r="J82" s="391" t="str">
        <f>IF(VLOOKUP(GAS!N82,'GAS ASCII'!$B$2:$D$200,3)&gt;=500000,VLOOKUP(GAS!N82,'GAS ASCII'!$B$2:$D$200,3)/-1000000,IF(VLOOKUP(GAS!N82,'GAS ASCII'!$B$2:$D$200,3)&lt;=0,"……………….","*"))</f>
        <v>……………….</v>
      </c>
      <c r="K82" s="3"/>
      <c r="L82" s="391">
        <f>IF(VLOOKUP(GAS!N82,'GAS ASCII'!$B$2:$E$200,4)&gt;=500000,VLOOKUP(GAS!N82,'GAS ASCII'!$B$2:$E$200,4)/1000000,IF(VLOOKUP(GAS!N82,'GAS ASCII'!$B$2:$E$200,4)&lt;=0,"……………….","*"))</f>
        <v>0.708</v>
      </c>
      <c r="M82" s="21"/>
      <c r="N82" t="s">
        <v>453</v>
      </c>
      <c r="O82" s="278"/>
    </row>
    <row r="83" spans="3:15" ht="15.75" customHeight="1">
      <c r="C83" s="9" t="s">
        <v>17</v>
      </c>
      <c r="H83" s="391">
        <f>IF(VLOOKUP(GAS!N83,'GAS ASCII'!$B$2:$C$200,2)&gt;=500000,VLOOKUP(GAS!N83,'GAS ASCII'!$B$2:$C$200,2)/1000000,IF(VLOOKUP(GAS!N83,'GAS ASCII'!$B$2:$C$200,2)&lt;=0,"……………….","*"))</f>
        <v>3.038</v>
      </c>
      <c r="I83" s="21"/>
      <c r="J83" s="391" t="str">
        <f>IF(VLOOKUP(GAS!N83,'GAS ASCII'!$B$2:$D$200,3)&gt;=500000,VLOOKUP(GAS!N83,'GAS ASCII'!$B$2:$D$200,3)/-1000000,IF(VLOOKUP(GAS!N83,'GAS ASCII'!$B$2:$D$200,3)&lt;=0,"……………….","*"))</f>
        <v>……………….</v>
      </c>
      <c r="K83" s="27"/>
      <c r="L83" s="391">
        <f>IF(VLOOKUP(GAS!N83,'GAS ASCII'!$B$2:$E$200,4)&gt;=500000,VLOOKUP(GAS!N83,'GAS ASCII'!$B$2:$E$200,4)/1000000,IF(VLOOKUP(GAS!N83,'GAS ASCII'!$B$2:$E$200,4)&lt;=0,"……………….","*"))</f>
        <v>3.038</v>
      </c>
      <c r="M83" s="21"/>
      <c r="N83" t="s">
        <v>455</v>
      </c>
      <c r="O83" s="278"/>
    </row>
    <row r="84" spans="3:15" ht="15.75" customHeight="1">
      <c r="C84" s="9" t="s">
        <v>18</v>
      </c>
      <c r="H84" s="391">
        <f>IF(VLOOKUP(GAS!N84,'GAS ASCII'!$B$2:$C$200,2)&gt;=500000,VLOOKUP(GAS!N84,'GAS ASCII'!$B$2:$C$200,2)/1000000,IF(VLOOKUP(GAS!N84,'GAS ASCII'!$B$2:$C$200,2)&lt;=0,"……………….","*"))</f>
        <v>2.446</v>
      </c>
      <c r="I84" s="21"/>
      <c r="J84" s="391" t="str">
        <f>IF(VLOOKUP(GAS!N84,'GAS ASCII'!$B$2:$D$200,3)&gt;=500000,VLOOKUP(GAS!N84,'GAS ASCII'!$B$2:$D$200,3)/-1000000,IF(VLOOKUP(GAS!N84,'GAS ASCII'!$B$2:$D$200,3)&lt;=0,"……………….","*"))</f>
        <v>……………….</v>
      </c>
      <c r="K84" s="27"/>
      <c r="L84" s="391">
        <f>IF(VLOOKUP(GAS!N84,'GAS ASCII'!$B$2:$E$200,4)&gt;=500000,VLOOKUP(GAS!N84,'GAS ASCII'!$B$2:$E$200,4)/1000000,IF(VLOOKUP(GAS!N84,'GAS ASCII'!$B$2:$E$200,4)&lt;=0,"……………….","*"))</f>
        <v>2.446</v>
      </c>
      <c r="M84" s="107"/>
      <c r="N84" t="s">
        <v>457</v>
      </c>
      <c r="O84" s="278"/>
    </row>
    <row r="85" spans="3:15" ht="15.75" customHeight="1">
      <c r="C85" s="9" t="s">
        <v>20</v>
      </c>
      <c r="H85" s="391">
        <f>IF(VLOOKUP(GAS!N85,'GAS ASCII'!$B$2:$C$200,2)&gt;=500000,VLOOKUP(GAS!N85,'GAS ASCII'!$B$2:$C$200,2)/1000000,IF(VLOOKUP(GAS!N85,'GAS ASCII'!$B$2:$C$200,2)&lt;=0,"……………….","*"))</f>
        <v>92.515</v>
      </c>
      <c r="I85" s="21"/>
      <c r="J85" s="391" t="str">
        <f>IF(VLOOKUP(GAS!N85,'GAS ASCII'!$B$2:$D$200,3)&gt;=500000,VLOOKUP(GAS!N85,'GAS ASCII'!$B$2:$D$200,3)/-1000000,IF(VLOOKUP(GAS!N85,'GAS ASCII'!$B$2:$D$200,3)&lt;=0,"……………….","*"))</f>
        <v>……………….</v>
      </c>
      <c r="K85" s="27"/>
      <c r="L85" s="391">
        <f>IF(VLOOKUP(GAS!N85,'GAS ASCII'!$B$2:$E$200,4)&gt;=500000,VLOOKUP(GAS!N85,'GAS ASCII'!$B$2:$E$200,4)/1000000,IF(VLOOKUP(GAS!N85,'GAS ASCII'!$B$2:$E$200,4)&lt;=0,"……………….","*"))</f>
        <v>92.515</v>
      </c>
      <c r="M85" s="21"/>
      <c r="N85" t="s">
        <v>458</v>
      </c>
      <c r="O85" s="278"/>
    </row>
    <row r="86" spans="3:15" ht="15.75" customHeight="1">
      <c r="C86" s="9" t="s">
        <v>353</v>
      </c>
      <c r="H86" s="391">
        <f>IF(VLOOKUP(GAS!N86,'GAS ASCII'!$B$2:$C$200,2)&gt;=500000,VLOOKUP(GAS!N86,'GAS ASCII'!$B$2:$C$200,2)/1000000,IF(VLOOKUP(GAS!N86,'GAS ASCII'!$B$2:$C$200,2)&lt;=0,"……………….","*"))</f>
        <v>1755.072</v>
      </c>
      <c r="I86" s="21"/>
      <c r="J86" s="391" t="str">
        <f>IF(VLOOKUP(GAS!N86,'GAS ASCII'!$B$2:$D$200,3)&gt;=500000,VLOOKUP(GAS!N86,'GAS ASCII'!$B$2:$D$200,3)/-1000000,IF(VLOOKUP(GAS!N86,'GAS ASCII'!$B$2:$D$200,3)&lt;=0,"……………….","*"))</f>
        <v>……………….</v>
      </c>
      <c r="K86" s="27"/>
      <c r="L86" s="391">
        <f>IF(VLOOKUP(GAS!N86,'GAS ASCII'!$B$2:$E$200,4)&gt;=500000,VLOOKUP(GAS!N86,'GAS ASCII'!$B$2:$E$200,4)/1000000,IF(VLOOKUP(GAS!N86,'GAS ASCII'!$B$2:$E$200,4)&lt;=0,"……………….","*"))</f>
        <v>1755.072</v>
      </c>
      <c r="M86" s="21"/>
      <c r="N86" t="s">
        <v>785</v>
      </c>
      <c r="O86" s="278"/>
    </row>
    <row r="87" spans="3:15" ht="15.75" customHeight="1">
      <c r="C87" s="9"/>
      <c r="H87" s="391"/>
      <c r="I87" s="21"/>
      <c r="J87" s="391"/>
      <c r="K87" s="27"/>
      <c r="L87" s="391"/>
      <c r="M87" s="21"/>
      <c r="O87" s="278"/>
    </row>
    <row r="88" spans="3:15" ht="15.75" customHeight="1">
      <c r="C88" s="9" t="s">
        <v>21</v>
      </c>
      <c r="H88" s="391">
        <f>IF(VLOOKUP(GAS!N88,'GAS ASCII'!$B$2:$C$200,2)&gt;=500000,VLOOKUP(GAS!N88,'GAS ASCII'!$B$2:$C$200,2)/1000000,IF(VLOOKUP(GAS!N88,'GAS ASCII'!$B$2:$C$200,2)&lt;=0,"……………….","*"))</f>
        <v>8.734</v>
      </c>
      <c r="I88" s="21"/>
      <c r="J88" s="391">
        <f>IF(VLOOKUP(GAS!N88,'GAS ASCII'!$B$2:$D$200,3)&gt;=500000,VLOOKUP(GAS!N88,'GAS ASCII'!$B$2:$D$200,3)/-1000000,IF(VLOOKUP(GAS!N88,'GAS ASCII'!$B$2:$D$200,3)&lt;=0,"……………….","*"))</f>
        <v>-1.2</v>
      </c>
      <c r="K88" s="21"/>
      <c r="L88" s="391">
        <f>IF(VLOOKUP(GAS!N88,'GAS ASCII'!$B$2:$E$200,4)&gt;=500000,VLOOKUP(GAS!N88,'GAS ASCII'!$B$2:$E$200,4)/1000000,IF(VLOOKUP(GAS!N88,'GAS ASCII'!$B$2:$E$200,4)&lt;=0,"……………….","*"))</f>
        <v>7.534</v>
      </c>
      <c r="M88" s="21"/>
      <c r="N88" t="s">
        <v>787</v>
      </c>
      <c r="O88" s="278"/>
    </row>
    <row r="89" spans="3:15" ht="15.75" customHeight="1">
      <c r="C89" s="9" t="s">
        <v>341</v>
      </c>
      <c r="H89" s="391">
        <f>IF(VLOOKUP(GAS!N89,'GAS ASCII'!$B$2:$C$200,2)&gt;=500000,VLOOKUP(GAS!N89,'GAS ASCII'!$B$2:$C$200,2)/1000000,IF(VLOOKUP(GAS!N89,'GAS ASCII'!$B$2:$C$200,2)&lt;=0,"……………….","*"))</f>
        <v>12416.705</v>
      </c>
      <c r="I89" s="21"/>
      <c r="J89" s="391">
        <f>IF(VLOOKUP(GAS!N89,'GAS ASCII'!$B$2:$D$200,3)&gt;=500000,VLOOKUP(GAS!N89,'GAS ASCII'!$B$2:$D$200,3)/-1000000,IF(VLOOKUP(GAS!N89,'GAS ASCII'!$B$2:$D$200,3)&lt;=0,"……………….","*"))</f>
        <v>-1831.962</v>
      </c>
      <c r="K89" s="21"/>
      <c r="L89" s="391">
        <f>IF(VLOOKUP(GAS!N89,'GAS ASCII'!$B$2:$E$200,4)&gt;=500000,VLOOKUP(GAS!N89,'GAS ASCII'!$B$2:$E$200,4)/1000000,IF(VLOOKUP(GAS!N89,'GAS ASCII'!$B$2:$E$200,4)&lt;=0,"……………….","*"))</f>
        <v>10584.743</v>
      </c>
      <c r="M89" s="21"/>
      <c r="N89" t="s">
        <v>789</v>
      </c>
      <c r="O89" s="278"/>
    </row>
    <row r="90" spans="3:15" ht="15.75" customHeight="1">
      <c r="C90" s="9" t="s">
        <v>33</v>
      </c>
      <c r="H90" s="391">
        <f>IF(VLOOKUP(GAS!N90,'GAS ASCII'!$B$2:$C$200,2)&gt;=500000,VLOOKUP(GAS!N90,'GAS ASCII'!$B$2:$C$200,2)/1000000,IF(VLOOKUP(GAS!N90,'GAS ASCII'!$B$2:$C$200,2)&lt;=0,"……………….","*"))</f>
        <v>27805.933</v>
      </c>
      <c r="I90" s="21"/>
      <c r="J90" s="391" t="str">
        <f>IF(VLOOKUP(GAS!N90,'GAS ASCII'!$B$2:$D$200,3)&gt;=500000,VLOOKUP(GAS!N90,'GAS ASCII'!$B$2:$D$200,3)/-1000000,IF(VLOOKUP(GAS!N90,'GAS ASCII'!$B$2:$D$200,3)&lt;=0,"……………….","*"))</f>
        <v>……………….</v>
      </c>
      <c r="K90" s="27"/>
      <c r="L90" s="391">
        <f>IF(VLOOKUP(GAS!N90,'GAS ASCII'!$B$2:$E$200,4)&gt;=500000,VLOOKUP(GAS!N90,'GAS ASCII'!$B$2:$E$200,4)/1000000,IF(VLOOKUP(GAS!N90,'GAS ASCII'!$B$2:$E$200,4)&lt;=0,"……………….","*"))</f>
        <v>27805.933</v>
      </c>
      <c r="M90" s="21"/>
      <c r="N90" t="s">
        <v>791</v>
      </c>
      <c r="O90" s="278"/>
    </row>
    <row r="91" spans="3:15" ht="15.75" customHeight="1">
      <c r="C91" s="9" t="s">
        <v>104</v>
      </c>
      <c r="H91" s="391">
        <f>IF(VLOOKUP(GAS!N91,'GAS ASCII'!$B$2:$C$200,2)&gt;=500000,VLOOKUP(GAS!N91,'GAS ASCII'!$B$2:$C$200,2)/1000000,IF(VLOOKUP(GAS!N91,'GAS ASCII'!$B$2:$C$200,2)&lt;=0,"……………….","*"))</f>
        <v>0.557</v>
      </c>
      <c r="I91" s="21"/>
      <c r="J91" s="391" t="str">
        <f>IF(VLOOKUP(GAS!N91,'GAS ASCII'!$B$2:$D$200,3)&gt;=500000,VLOOKUP(GAS!N91,'GAS ASCII'!$B$2:$D$200,3)/-1000000,IF(VLOOKUP(GAS!N91,'GAS ASCII'!$B$2:$D$200,3)&lt;=0,"……………….","*"))</f>
        <v>……………….</v>
      </c>
      <c r="K91" s="27"/>
      <c r="L91" s="391">
        <f>IF(VLOOKUP(GAS!N91,'GAS ASCII'!$B$2:$E$200,4)&gt;=500000,VLOOKUP(GAS!N91,'GAS ASCII'!$B$2:$E$200,4)/1000000,IF(VLOOKUP(GAS!N91,'GAS ASCII'!$B$2:$E$200,4)&lt;=0,"……………….","*"))</f>
        <v>0.557</v>
      </c>
      <c r="M91" s="21"/>
      <c r="N91" t="s">
        <v>793</v>
      </c>
      <c r="O91" s="278"/>
    </row>
    <row r="92" spans="3:15" ht="15.75" customHeight="1">
      <c r="C92" s="9" t="s">
        <v>459</v>
      </c>
      <c r="H92" s="391">
        <f>IF(VLOOKUP(GAS!N92,'GAS ASCII'!$B$2:$C$200,2)&gt;=500000,VLOOKUP(GAS!N92,'GAS ASCII'!$B$2:$C$200,2)/1000000,IF(VLOOKUP(GAS!N92,'GAS ASCII'!$B$2:$C$200,2)&lt;=0,"……………….","*"))</f>
        <v>93.745</v>
      </c>
      <c r="I92" s="21"/>
      <c r="J92" s="391" t="str">
        <f>IF(VLOOKUP(GAS!N92,'GAS ASCII'!$B$2:$D$200,3)&gt;=500000,VLOOKUP(GAS!N92,'GAS ASCII'!$B$2:$D$200,3)/-1000000,IF(VLOOKUP(GAS!N92,'GAS ASCII'!$B$2:$D$200,3)&lt;=0,"……………….","*"))</f>
        <v>……………….</v>
      </c>
      <c r="K92" s="27"/>
      <c r="L92" s="391">
        <f>IF(VLOOKUP(GAS!N92,'GAS ASCII'!$B$2:$E$200,4)&gt;=500000,VLOOKUP(GAS!N92,'GAS ASCII'!$B$2:$E$200,4)/1000000,IF(VLOOKUP(GAS!N92,'GAS ASCII'!$B$2:$E$200,4)&lt;=0,"……………….","*"))</f>
        <v>93.745</v>
      </c>
      <c r="M92" s="21"/>
      <c r="N92" t="s">
        <v>957</v>
      </c>
      <c r="O92" s="278"/>
    </row>
    <row r="93" spans="3:15" ht="15.75" customHeight="1">
      <c r="C93" s="9" t="s">
        <v>782</v>
      </c>
      <c r="H93" s="391">
        <f>IF(VLOOKUP(GAS!N93,'GAS ASCII'!$B$2:$C$200,2)&gt;=500000,VLOOKUP(GAS!N93,'GAS ASCII'!$B$2:$C$200,2)/1000000,IF(VLOOKUP(GAS!N93,'GAS ASCII'!$B$2:$C$200,2)&lt;=0,"……………….","*"))</f>
        <v>954.204</v>
      </c>
      <c r="I93" s="21"/>
      <c r="J93" s="391" t="str">
        <f>IF(VLOOKUP(GAS!N93,'GAS ASCII'!$B$2:$D$200,3)&gt;=500000,VLOOKUP(GAS!N93,'GAS ASCII'!$B$2:$D$200,3)/-1000000,IF(VLOOKUP(GAS!N93,'GAS ASCII'!$B$2:$D$200,3)&lt;=0,"……………….","*"))</f>
        <v>……………….</v>
      </c>
      <c r="K93" s="27"/>
      <c r="L93" s="391">
        <f>IF(VLOOKUP(GAS!N93,'GAS ASCII'!$B$2:$E$200,4)&gt;=500000,VLOOKUP(GAS!N93,'GAS ASCII'!$B$2:$E$200,4)/1000000,IF(VLOOKUP(GAS!N93,'GAS ASCII'!$B$2:$E$200,4)&lt;=0,"……………….","*"))</f>
        <v>954.204</v>
      </c>
      <c r="M93" s="21"/>
      <c r="N93" t="s">
        <v>959</v>
      </c>
      <c r="O93" s="278"/>
    </row>
    <row r="94" spans="3:15" ht="15.75" customHeight="1">
      <c r="C94" s="9" t="s">
        <v>34</v>
      </c>
      <c r="H94" s="391" t="str">
        <f>IF(VLOOKUP(GAS!N94,'GAS ASCII'!$B$2:$C$200,2)&gt;=500000,VLOOKUP(GAS!N94,'GAS ASCII'!$B$2:$C$200,2)/1000000,IF(VLOOKUP(GAS!N94,'GAS ASCII'!$B$2:$C$200,2)&lt;=0,"……………….","*"))</f>
        <v>*</v>
      </c>
      <c r="I94" s="21"/>
      <c r="J94" s="391" t="str">
        <f>IF(VLOOKUP(GAS!N94,'GAS ASCII'!$B$2:$D$200,3)&gt;=500000,VLOOKUP(GAS!N94,'GAS ASCII'!$B$2:$D$200,3)/-1000000,IF(VLOOKUP(GAS!N94,'GAS ASCII'!$B$2:$D$200,3)&lt;=0,"……………….","*"))</f>
        <v>……………….</v>
      </c>
      <c r="K94" s="27"/>
      <c r="L94" s="391" t="str">
        <f>IF(VLOOKUP(GAS!N94,'GAS ASCII'!$B$2:$E$200,4)&gt;=500000,VLOOKUP(GAS!N94,'GAS ASCII'!$B$2:$E$200,4)/1000000,IF(VLOOKUP(GAS!N94,'GAS ASCII'!$B$2:$E$200,4)&lt;=0,"……………….","*"))</f>
        <v>*</v>
      </c>
      <c r="M94" s="21"/>
      <c r="N94" t="s">
        <v>961</v>
      </c>
      <c r="O94" s="278"/>
    </row>
    <row r="95" spans="3:15" ht="15.75" customHeight="1">
      <c r="C95" s="9" t="s">
        <v>1114</v>
      </c>
      <c r="H95" s="391">
        <f>IF(VLOOKUP(GAS!N95,'GAS ASCII'!$B$2:$C$200,2)&gt;=500000,VLOOKUP(GAS!N95,'GAS ASCII'!$B$2:$C$200,2)/1000000,IF(VLOOKUP(GAS!N95,'GAS ASCII'!$B$2:$C$200,2)&lt;=0,"……………….","*"))</f>
        <v>10365.86533938</v>
      </c>
      <c r="I95" s="21"/>
      <c r="J95" s="391" t="str">
        <f>IF(VLOOKUP(GAS!N95,'GAS ASCII'!$B$2:$D$200,3)&gt;=500000,VLOOKUP(GAS!N95,'GAS ASCII'!$B$2:$D$200,3)/-1000000,IF(VLOOKUP(GAS!N95,'GAS ASCII'!$B$2:$D$200,3)&lt;=0,"……………….","*"))</f>
        <v>……………….</v>
      </c>
      <c r="K95" s="27"/>
      <c r="L95" s="391">
        <f>IF(VLOOKUP(GAS!N95,'GAS ASCII'!$B$2:$E$200,4)&gt;=500000,VLOOKUP(GAS!N95,'GAS ASCII'!$B$2:$E$200,4)/1000000,IF(VLOOKUP(GAS!N95,'GAS ASCII'!$B$2:$E$200,4)&lt;=0,"……………….","*"))</f>
        <v>10365.86533938</v>
      </c>
      <c r="M95" s="21"/>
      <c r="N95" t="s">
        <v>963</v>
      </c>
      <c r="O95" s="278"/>
    </row>
    <row r="96" spans="1:15" ht="15.75" customHeight="1" thickBot="1">
      <c r="A96" s="392"/>
      <c r="B96" s="392"/>
      <c r="C96" s="393"/>
      <c r="D96" s="394"/>
      <c r="E96" s="395"/>
      <c r="F96" s="395"/>
      <c r="G96" s="395"/>
      <c r="H96" s="395"/>
      <c r="I96" s="396"/>
      <c r="J96" s="395"/>
      <c r="K96" s="395"/>
      <c r="L96" s="395"/>
      <c r="M96" s="397"/>
      <c r="O96" s="278"/>
    </row>
    <row r="97" spans="1:13" ht="16.5" customHeight="1" thickTop="1">
      <c r="A97" s="97">
        <v>8</v>
      </c>
      <c r="B97" s="2" t="str">
        <f>(Marketable!B86)</f>
        <v>TABLE III - DETAIL OF TREASURY SECURITIES OUTSTANDING, JULY 31, 2004 -- Continued</v>
      </c>
      <c r="C97" s="2"/>
      <c r="D97" s="2"/>
      <c r="E97" s="3"/>
      <c r="F97" s="3"/>
      <c r="G97" s="3"/>
      <c r="H97" s="3"/>
      <c r="I97" s="29"/>
      <c r="J97" s="3"/>
      <c r="K97" s="3"/>
      <c r="L97" s="3"/>
      <c r="M97" s="2"/>
    </row>
    <row r="98" spans="1:13" ht="10.5" customHeight="1" thickBot="1">
      <c r="A98" s="59"/>
      <c r="B98" s="59"/>
      <c r="C98" s="7"/>
      <c r="D98" s="2"/>
      <c r="E98" s="3"/>
      <c r="F98" s="3"/>
      <c r="G98" s="3"/>
      <c r="H98" s="3"/>
      <c r="I98" s="29"/>
      <c r="J98" s="3"/>
      <c r="K98" s="3"/>
      <c r="L98" s="3"/>
      <c r="M98" s="2"/>
    </row>
    <row r="99" spans="1:13" ht="15.75" customHeight="1" thickTop="1">
      <c r="A99" s="32"/>
      <c r="B99" s="32"/>
      <c r="C99" s="32"/>
      <c r="D99" s="32"/>
      <c r="E99" s="32"/>
      <c r="F99" s="32"/>
      <c r="G99" s="32"/>
      <c r="H99" s="26"/>
      <c r="I99" s="32"/>
      <c r="J99" s="32"/>
      <c r="K99" s="32"/>
      <c r="L99" s="32"/>
      <c r="M99" s="32"/>
    </row>
    <row r="100" spans="8:13" ht="15.75" customHeight="1">
      <c r="H100" s="16" t="s">
        <v>576</v>
      </c>
      <c r="I100" s="3"/>
      <c r="J100" s="3"/>
      <c r="K100" s="3"/>
      <c r="L100" s="3"/>
      <c r="M100" s="3"/>
    </row>
    <row r="101" spans="1:13" ht="15.75" customHeight="1">
      <c r="A101" s="3" t="s">
        <v>577</v>
      </c>
      <c r="B101" s="3"/>
      <c r="C101" s="3"/>
      <c r="D101" s="3"/>
      <c r="E101" s="3"/>
      <c r="F101" s="3"/>
      <c r="G101" s="3"/>
      <c r="H101" s="16" t="s">
        <v>859</v>
      </c>
      <c r="I101" s="3"/>
      <c r="J101" s="3"/>
      <c r="K101" s="3"/>
      <c r="L101" s="3"/>
      <c r="M101" s="3"/>
    </row>
    <row r="102" spans="1:13" ht="16.5" customHeight="1">
      <c r="A102" s="15"/>
      <c r="B102" s="15"/>
      <c r="C102" s="15"/>
      <c r="D102" s="15"/>
      <c r="E102" s="15"/>
      <c r="F102" s="15"/>
      <c r="G102" s="15"/>
      <c r="H102" s="37" t="s">
        <v>581</v>
      </c>
      <c r="I102" s="38"/>
      <c r="J102" s="37" t="s">
        <v>60</v>
      </c>
      <c r="K102" s="38"/>
      <c r="L102" s="37" t="s">
        <v>862</v>
      </c>
      <c r="M102" s="38"/>
    </row>
    <row r="103" spans="8:12" ht="15.75" customHeight="1">
      <c r="H103" s="14"/>
      <c r="J103" s="14"/>
      <c r="L103" s="14"/>
    </row>
    <row r="104" spans="2:12" ht="18" customHeight="1">
      <c r="B104" s="7" t="s">
        <v>1059</v>
      </c>
      <c r="E104" s="43"/>
      <c r="H104" s="14"/>
      <c r="J104" s="14"/>
      <c r="L104" s="14"/>
    </row>
    <row r="105" spans="2:15" ht="18" customHeight="1">
      <c r="B105" s="77" t="s">
        <v>53</v>
      </c>
      <c r="E105" s="43"/>
      <c r="H105" s="14"/>
      <c r="J105" s="14"/>
      <c r="L105" s="14"/>
      <c r="O105" s="278"/>
    </row>
    <row r="106" spans="3:15" ht="15.75" customHeight="1">
      <c r="C106" s="9" t="s">
        <v>105</v>
      </c>
      <c r="H106" s="391">
        <f>IF(VLOOKUP(GAS!N106,'GAS ASCII'!$B$2:$C$200,2)&gt;=500000,VLOOKUP(GAS!N106,'GAS ASCII'!$B$2:$C$200,2)/1000000,IF(VLOOKUP(GAS!N106,'GAS ASCII'!$B$2:$C$200,2)&lt;=0,"……………….","*"))</f>
        <v>137.888</v>
      </c>
      <c r="I106" s="21"/>
      <c r="J106" s="391">
        <f>IF(VLOOKUP(GAS!N106,'GAS ASCII'!$B$2:$D$200,3)&gt;=500000,VLOOKUP(GAS!N106,'GAS ASCII'!$B$2:$D$200,3)/-1000000,IF(VLOOKUP(GAS!N106,'GAS ASCII'!$B$2:$D$200,3)&lt;=0,"……………….","*"))</f>
        <v>-12.669</v>
      </c>
      <c r="K106" s="27"/>
      <c r="L106" s="391">
        <f>IF(VLOOKUP(GAS!N106,'GAS ASCII'!$B$2:$E$200,4)&gt;=500000,VLOOKUP(GAS!N106,'GAS ASCII'!$B$2:$E$200,4)/1000000,IF(VLOOKUP(GAS!N106,'GAS ASCII'!$B$2:$E$200,4)&lt;=0,"……………….","*"))</f>
        <v>125.219</v>
      </c>
      <c r="M106" s="21"/>
      <c r="N106" t="s">
        <v>965</v>
      </c>
      <c r="O106" s="278"/>
    </row>
    <row r="107" spans="3:15" ht="15.75" customHeight="1">
      <c r="C107" t="s">
        <v>84</v>
      </c>
      <c r="H107" s="391"/>
      <c r="I107" s="21"/>
      <c r="J107" s="391"/>
      <c r="K107" s="27"/>
      <c r="L107" s="391"/>
      <c r="M107" s="21"/>
      <c r="O107" s="278"/>
    </row>
    <row r="108" spans="3:15" ht="16.5" customHeight="1">
      <c r="C108" s="9" t="s">
        <v>85</v>
      </c>
      <c r="H108" s="391">
        <f>IF(VLOOKUP(GAS!N108,'GAS ASCII'!$B$2:$C$200,2)&gt;=500000,VLOOKUP(GAS!N108,'GAS ASCII'!$B$2:$C$200,2)/1000000,IF(VLOOKUP(GAS!N108,'GAS ASCII'!$B$2:$C$200,2)&lt;=0,"……………….","*"))</f>
        <v>23.248023</v>
      </c>
      <c r="J108" s="391" t="str">
        <f>IF(VLOOKUP(GAS!N108,'GAS ASCII'!$B$2:$D$200,3)&gt;=500000,VLOOKUP(GAS!N108,'GAS ASCII'!$B$2:$D$200,3)/-1000000,IF(VLOOKUP(GAS!N108,'GAS ASCII'!$B$2:$D$200,3)&lt;=0,"……………….","*"))</f>
        <v>……………….</v>
      </c>
      <c r="K108" s="27"/>
      <c r="L108" s="391">
        <f>IF(VLOOKUP(GAS!N108,'GAS ASCII'!$B$2:$E$200,4)&gt;=500000,VLOOKUP(GAS!N108,'GAS ASCII'!$B$2:$E$200,4)/1000000,IF(VLOOKUP(GAS!N108,'GAS ASCII'!$B$2:$E$200,4)&lt;=0,"……………….","*"))</f>
        <v>23.248023</v>
      </c>
      <c r="M108" s="21"/>
      <c r="N108" t="s">
        <v>476</v>
      </c>
      <c r="O108" s="278"/>
    </row>
    <row r="109" spans="2:15" ht="18" customHeight="1">
      <c r="B109" s="77"/>
      <c r="E109" s="43"/>
      <c r="H109" s="14"/>
      <c r="J109" s="14"/>
      <c r="L109" s="14"/>
      <c r="O109" s="278"/>
    </row>
    <row r="110" spans="3:15" ht="18" customHeight="1">
      <c r="C110" s="9" t="s">
        <v>1115</v>
      </c>
      <c r="H110" s="391"/>
      <c r="I110" s="21"/>
      <c r="J110" s="391"/>
      <c r="K110" s="21"/>
      <c r="L110" s="391"/>
      <c r="M110" s="21"/>
      <c r="O110" s="278"/>
    </row>
    <row r="111" spans="3:15" ht="18" customHeight="1">
      <c r="C111" s="9" t="s">
        <v>1135</v>
      </c>
      <c r="H111" s="391">
        <f>IF(VLOOKUP(GAS!N111,'GAS ASCII'!$B$2:$C$200,2)&gt;=500000,VLOOKUP(GAS!N111,'GAS ASCII'!$B$2:$C$200,2)/1000000,IF(VLOOKUP(GAS!N111,'GAS ASCII'!$B$2:$C$200,2)&lt;=0,"……………….","*"))</f>
        <v>1992.977</v>
      </c>
      <c r="I111" s="21"/>
      <c r="J111" s="391" t="str">
        <f>IF(VLOOKUP(GAS!N111,'GAS ASCII'!$B$2:$D$200,3)&gt;=500000,VLOOKUP(GAS!N111,'GAS ASCII'!$B$2:$D$200,3)/-1000000,IF(VLOOKUP(GAS!N111,'GAS ASCII'!$B$2:$D$200,3)&lt;=0,"……………….","*"))</f>
        <v>……………….</v>
      </c>
      <c r="K111" s="27"/>
      <c r="L111" s="391">
        <f>IF(VLOOKUP(GAS!N111,'GAS ASCII'!$B$2:$E$200,4)&gt;=500000,VLOOKUP(GAS!N111,'GAS ASCII'!$B$2:$E$200,4)/1000000,IF(VLOOKUP(GAS!N111,'GAS ASCII'!$B$2:$E$200,4)&lt;=0,"……………….","*"))</f>
        <v>1992.977</v>
      </c>
      <c r="M111" s="21"/>
      <c r="N111" t="s">
        <v>583</v>
      </c>
      <c r="O111" s="278"/>
    </row>
    <row r="112" spans="3:15" ht="18" customHeight="1">
      <c r="C112" s="9" t="s">
        <v>1116</v>
      </c>
      <c r="H112" s="391">
        <f>IF(VLOOKUP(GAS!N112,'GAS ASCII'!$B$2:$C$200,2)&gt;=500000,VLOOKUP(GAS!N112,'GAS ASCII'!$B$2:$C$200,2)/1000000,IF(VLOOKUP(GAS!N112,'GAS ASCII'!$B$2:$C$200,2)&lt;=0,"……………….","*"))</f>
        <v>427.189</v>
      </c>
      <c r="I112" s="21"/>
      <c r="J112" s="391">
        <f>IF(VLOOKUP(GAS!N112,'GAS ASCII'!$B$2:$D$200,3)&gt;=500000,VLOOKUP(GAS!N112,'GAS ASCII'!$B$2:$D$200,3)/-1000000,IF(VLOOKUP(GAS!N112,'GAS ASCII'!$B$2:$D$200,3)&lt;=0,"……………….","*"))</f>
        <v>-6</v>
      </c>
      <c r="K112" s="27"/>
      <c r="L112" s="391">
        <f>IF(VLOOKUP(GAS!N112,'GAS ASCII'!$B$2:$E$200,4)&gt;=500000,VLOOKUP(GAS!N112,'GAS ASCII'!$B$2:$E$200,4)/1000000,IF(VLOOKUP(GAS!N112,'GAS ASCII'!$B$2:$E$200,4)&lt;=0,"……………….","*"))</f>
        <v>421.189</v>
      </c>
      <c r="M112" s="21"/>
      <c r="N112" t="s">
        <v>585</v>
      </c>
      <c r="O112" s="278"/>
    </row>
    <row r="113" spans="3:15" ht="15.75" customHeight="1">
      <c r="C113" s="9" t="s">
        <v>1117</v>
      </c>
      <c r="H113" s="391">
        <f>IF(VLOOKUP(GAS!N113,'GAS ASCII'!$B$2:$C$200,2)&gt;=500000,VLOOKUP(GAS!N113,'GAS ASCII'!$B$2:$C$200,2)/1000000,IF(VLOOKUP(GAS!N113,'GAS ASCII'!$B$2:$C$200,2)&lt;=0,"……………….","*"))</f>
        <v>187865.84</v>
      </c>
      <c r="I113" s="21"/>
      <c r="J113" s="391">
        <f>IF(VLOOKUP(GAS!N113,'GAS ASCII'!$B$2:$D$200,3)&gt;=500000,VLOOKUP(GAS!N113,'GAS ASCII'!$B$2:$D$200,3)/-1000000,IF(VLOOKUP(GAS!N113,'GAS ASCII'!$B$2:$D$200,3)&lt;=0,"……………….","*"))</f>
        <v>-4517.776</v>
      </c>
      <c r="K113" s="27"/>
      <c r="L113" s="391">
        <f>IF(VLOOKUP(GAS!N113,'GAS ASCII'!$B$2:$E$200,4)&gt;=500000,VLOOKUP(GAS!N113,'GAS ASCII'!$B$2:$E$200,4)/1000000,IF(VLOOKUP(GAS!N113,'GAS ASCII'!$B$2:$E$200,4)&lt;=0,"……………….","*"))</f>
        <v>183348.064</v>
      </c>
      <c r="M113" s="21"/>
      <c r="N113" t="s">
        <v>587</v>
      </c>
      <c r="O113" s="278"/>
    </row>
    <row r="114" spans="3:15" ht="15.75" customHeight="1">
      <c r="C114" s="9" t="s">
        <v>193</v>
      </c>
      <c r="H114" s="391">
        <f>IF(VLOOKUP(GAS!N114,'GAS ASCII'!$B$2:$C$200,2)&gt;=500000,VLOOKUP(GAS!N114,'GAS ASCII'!$B$2:$C$200,2)/1000000,IF(VLOOKUP(GAS!N114,'GAS ASCII'!$B$2:$C$200,2)&lt;=0,"……………….","*"))</f>
        <v>269053.575</v>
      </c>
      <c r="I114" s="21"/>
      <c r="J114" s="391">
        <f>IF(VLOOKUP(GAS!N114,'GAS ASCII'!$B$2:$D$200,3)&gt;=500000,VLOOKUP(GAS!N114,'GAS ASCII'!$B$2:$D$200,3)/-1000000,IF(VLOOKUP(GAS!N114,'GAS ASCII'!$B$2:$D$200,3)&lt;=0,"……………….","*"))</f>
        <v>-5771.622</v>
      </c>
      <c r="K114" s="27"/>
      <c r="L114" s="391">
        <f>IF(VLOOKUP(GAS!N114,'GAS ASCII'!$B$2:$E$200,4)&gt;=500000,VLOOKUP(GAS!N114,'GAS ASCII'!$B$2:$E$200,4)/1000000,IF(VLOOKUP(GAS!N114,'GAS ASCII'!$B$2:$E$200,4)&lt;=0,"……………….","*"))</f>
        <v>263281.953</v>
      </c>
      <c r="M114" s="21"/>
      <c r="N114" t="s">
        <v>589</v>
      </c>
      <c r="O114" s="278"/>
    </row>
    <row r="115" spans="3:15" ht="15.75" customHeight="1">
      <c r="C115" s="9" t="s">
        <v>523</v>
      </c>
      <c r="H115" s="391"/>
      <c r="I115" s="21"/>
      <c r="J115" s="391"/>
      <c r="K115" s="27"/>
      <c r="L115" s="391"/>
      <c r="M115" s="21"/>
      <c r="O115" s="278"/>
    </row>
    <row r="116" spans="3:15" ht="15.75" customHeight="1">
      <c r="C116" s="9" t="s">
        <v>356</v>
      </c>
      <c r="H116" s="391">
        <f>IF(VLOOKUP(GAS!N116,'GAS ASCII'!$B$2:$C$200,2)&gt;=500000,VLOOKUP(GAS!N116,'GAS ASCII'!$B$2:$C$200,2)/1000000,IF(VLOOKUP(GAS!N116,'GAS ASCII'!$B$2:$C$200,2)&lt;=0,"……………….","*"))</f>
        <v>6.029</v>
      </c>
      <c r="I116" s="21"/>
      <c r="J116" s="391" t="str">
        <f>IF(VLOOKUP(GAS!N116,'GAS ASCII'!$B$2:$D$200,3)&gt;=500000,VLOOKUP(GAS!N116,'GAS ASCII'!$B$2:$D$200,3)/-1000000,IF(VLOOKUP(GAS!N116,'GAS ASCII'!$B$2:$D$200,3)&lt;=0,"……………….","*"))</f>
        <v>……………….</v>
      </c>
      <c r="K116" s="27"/>
      <c r="L116" s="391">
        <f>IF(VLOOKUP(GAS!N116,'GAS ASCII'!$B$2:$E$200,4)&gt;=500000,VLOOKUP(GAS!N116,'GAS ASCII'!$B$2:$E$200,4)/1000000,IF(VLOOKUP(GAS!N116,'GAS ASCII'!$B$2:$E$200,4)&lt;=0,"……………….","*"))</f>
        <v>6.029</v>
      </c>
      <c r="M116" s="21"/>
      <c r="N116" t="s">
        <v>519</v>
      </c>
      <c r="O116" s="278"/>
    </row>
    <row r="117" spans="3:15" ht="15.75" customHeight="1">
      <c r="C117" s="9" t="s">
        <v>194</v>
      </c>
      <c r="H117" s="391"/>
      <c r="I117" s="21"/>
      <c r="J117" s="391"/>
      <c r="K117" s="21"/>
      <c r="L117" s="391"/>
      <c r="M117" s="21"/>
      <c r="O117" s="278"/>
    </row>
    <row r="118" spans="3:15" ht="15.75" customHeight="1">
      <c r="C118" s="9" t="s">
        <v>356</v>
      </c>
      <c r="H118" s="391">
        <f>IF(VLOOKUP(GAS!N118,'GAS ASCII'!$B$2:$C$200,2)&gt;=500000,VLOOKUP(GAS!N118,'GAS ASCII'!$B$2:$C$200,2)/1000000,IF(VLOOKUP(GAS!N118,'GAS ASCII'!$B$2:$C$200,2)&lt;=0,"……………….","*"))</f>
        <v>2.78</v>
      </c>
      <c r="I118" s="21"/>
      <c r="J118" s="391" t="str">
        <f>IF(VLOOKUP(GAS!N118,'GAS ASCII'!$B$2:$D$200,3)&gt;=500000,VLOOKUP(GAS!N118,'GAS ASCII'!$B$2:$D$200,3)/-1000000,IF(VLOOKUP(GAS!N118,'GAS ASCII'!$B$2:$D$200,3)&lt;=0,"……………….","*"))</f>
        <v>……………….</v>
      </c>
      <c r="K118" s="27"/>
      <c r="L118" s="391">
        <f>IF(VLOOKUP(GAS!N118,'GAS ASCII'!$B$2:$E$200,4)&gt;=500000,VLOOKUP(GAS!N118,'GAS ASCII'!$B$2:$E$200,4)/1000000,IF(VLOOKUP(GAS!N118,'GAS ASCII'!$B$2:$E$200,4)&lt;=0,"……………….","*"))</f>
        <v>2.78</v>
      </c>
      <c r="M118" s="21"/>
      <c r="N118" t="s">
        <v>591</v>
      </c>
      <c r="O118" s="278"/>
    </row>
    <row r="119" spans="3:15" ht="15.75" customHeight="1">
      <c r="C119" s="9" t="s">
        <v>522</v>
      </c>
      <c r="H119" s="391"/>
      <c r="I119" s="21"/>
      <c r="J119" s="391"/>
      <c r="K119" s="27"/>
      <c r="L119" s="391"/>
      <c r="M119" s="21"/>
      <c r="O119" s="278"/>
    </row>
    <row r="120" spans="3:15" ht="15.75" customHeight="1">
      <c r="C120" s="9" t="s">
        <v>356</v>
      </c>
      <c r="H120" s="391" t="str">
        <f>IF(VLOOKUP(GAS!N120,'GAS ASCII'!$B$2:$C$200,2)&gt;=500000,VLOOKUP(GAS!N120,'GAS ASCII'!$B$2:$C$200,2)/1000000,IF(VLOOKUP(GAS!N120,'GAS ASCII'!$B$2:$C$200,2)&lt;=0,"……………….","*"))</f>
        <v>*</v>
      </c>
      <c r="I120" s="21"/>
      <c r="J120" s="391" t="str">
        <f>IF(VLOOKUP(GAS!N120,'GAS ASCII'!$B$2:$D$200,3)&gt;=500000,VLOOKUP(GAS!N120,'GAS ASCII'!$B$2:$D$200,3)/-1000000,IF(VLOOKUP(GAS!N120,'GAS ASCII'!$B$2:$D$200,3)&lt;=0,"……………….","*"))</f>
        <v>……………….</v>
      </c>
      <c r="K120" s="27"/>
      <c r="L120" s="391" t="str">
        <f>IF(VLOOKUP(GAS!N120,'GAS ASCII'!$B$2:$E$200,4)&gt;=500000,VLOOKUP(GAS!N120,'GAS ASCII'!$B$2:$E$200,4)/1000000,IF(VLOOKUP(GAS!N120,'GAS ASCII'!$B$2:$E$200,4)&lt;=0,"……………….","*"))</f>
        <v>*</v>
      </c>
      <c r="M120" s="21"/>
      <c r="N120" t="s">
        <v>521</v>
      </c>
      <c r="O120" s="278"/>
    </row>
    <row r="121" spans="3:15" ht="15.75" customHeight="1">
      <c r="C121" s="9" t="s">
        <v>1180</v>
      </c>
      <c r="H121" s="391">
        <f>IF(VLOOKUP(GAS!N121,'GAS ASCII'!$B$2:$C$200,2)&gt;=500000,VLOOKUP(GAS!N121,'GAS ASCII'!$B$2:$C$200,2)/1000000,IF(VLOOKUP(GAS!N121,'GAS ASCII'!$B$2:$C$200,2)&lt;=0,"……………….","*"))</f>
        <v>22328.465</v>
      </c>
      <c r="I121" s="21"/>
      <c r="J121" s="391" t="str">
        <f>IF(VLOOKUP(GAS!N121,'GAS ASCII'!$B$2:$D$200,3)&gt;=500000,VLOOKUP(GAS!N121,'GAS ASCII'!$B$2:$D$200,3)/-1000000,IF(VLOOKUP(GAS!N121,'GAS ASCII'!$B$2:$D$200,3)&lt;=0,"……………….","*"))</f>
        <v>……………….</v>
      </c>
      <c r="K121" s="27"/>
      <c r="L121" s="391">
        <f>IF(VLOOKUP(GAS!N121,'GAS ASCII'!$B$2:$E$200,4)&gt;=500000,VLOOKUP(GAS!N121,'GAS ASCII'!$B$2:$E$200,4)/1000000,IF(VLOOKUP(GAS!N121,'GAS ASCII'!$B$2:$E$200,4)&lt;=0,"……………….","*"))</f>
        <v>22328.465</v>
      </c>
      <c r="M121" s="21"/>
      <c r="N121" t="s">
        <v>592</v>
      </c>
      <c r="O121" s="278"/>
    </row>
    <row r="122" spans="3:15" ht="15.75" customHeight="1">
      <c r="C122" s="9" t="s">
        <v>560</v>
      </c>
      <c r="D122" s="9"/>
      <c r="H122" s="391">
        <f>IF(VLOOKUP(GAS!N122,'GAS ASCII'!$B$2:$C$200,2)&gt;=500000,VLOOKUP(GAS!N122,'GAS ASCII'!$B$2:$C$200,2)/1000000,IF(VLOOKUP(GAS!N122,'GAS ASCII'!$B$2:$C$200,2)&lt;=0,"……………….","*"))</f>
        <v>1461337.539</v>
      </c>
      <c r="I122" s="21"/>
      <c r="J122" s="391">
        <f>IF(VLOOKUP(GAS!N122,'GAS ASCII'!$B$2:$D$200,3)&gt;=500000,VLOOKUP(GAS!N122,'GAS ASCII'!$B$2:$D$200,3)/-1000000,IF(VLOOKUP(GAS!N122,'GAS ASCII'!$B$2:$D$200,3)&lt;=0,"……………….","*"))</f>
        <v>-15978.737</v>
      </c>
      <c r="K122" s="27"/>
      <c r="L122" s="391">
        <f>IF(VLOOKUP(GAS!N122,'GAS ASCII'!$B$2:$E$200,4)&gt;=500000,VLOOKUP(GAS!N122,'GAS ASCII'!$B$2:$E$200,4)/1000000,IF(VLOOKUP(GAS!N122,'GAS ASCII'!$B$2:$E$200,4)&lt;=0,"……………….","*"))</f>
        <v>1445358.802</v>
      </c>
      <c r="M122" s="21"/>
      <c r="N122" t="s">
        <v>594</v>
      </c>
      <c r="O122" s="278"/>
    </row>
    <row r="123" spans="3:15" ht="15.75" customHeight="1">
      <c r="C123" s="9" t="s">
        <v>102</v>
      </c>
      <c r="E123" s="43"/>
      <c r="H123" s="391">
        <f>IF(VLOOKUP(GAS!N123,'GAS ASCII'!$B$2:$C$200,2)&gt;=500000,VLOOKUP(GAS!N123,'GAS ASCII'!$B$2:$C$200,2)/1000000,IF(VLOOKUP(GAS!N123,'GAS ASCII'!$B$2:$C$200,2)&lt;=0,"……………….","*"))</f>
        <v>1706.091</v>
      </c>
      <c r="I123" s="21"/>
      <c r="J123" s="391" t="str">
        <f>IF(VLOOKUP(GAS!N123,'GAS ASCII'!$B$2:$D$200,3)&gt;=500000,VLOOKUP(GAS!N123,'GAS ASCII'!$B$2:$D$200,3)/-1000000,IF(VLOOKUP(GAS!N123,'GAS ASCII'!$B$2:$D$200,3)&lt;=0,"……………….","*"))</f>
        <v>……………….</v>
      </c>
      <c r="K123" s="27"/>
      <c r="L123" s="391">
        <f>IF(VLOOKUP(GAS!N123,'GAS ASCII'!$B$2:$E$200,4)&gt;=500000,VLOOKUP(GAS!N123,'GAS ASCII'!$B$2:$E$200,4)/1000000,IF(VLOOKUP(GAS!N123,'GAS ASCII'!$B$2:$E$200,4)&lt;=0,"……………….","*"))</f>
        <v>1706.091</v>
      </c>
      <c r="M123" s="21"/>
      <c r="N123" t="s">
        <v>596</v>
      </c>
      <c r="O123" s="278"/>
    </row>
    <row r="124" spans="3:15" ht="15.75" customHeight="1">
      <c r="C124" s="9" t="s">
        <v>889</v>
      </c>
      <c r="H124" s="391">
        <f>IF(VLOOKUP(GAS!N124,'GAS ASCII'!$B$2:$C$200,2)&gt;=500000,VLOOKUP(GAS!N124,'GAS ASCII'!$B$2:$C$200,2)/1000000,IF(VLOOKUP(GAS!N124,'GAS ASCII'!$B$2:$C$200,2)&lt;=0,"……………….","*"))</f>
        <v>38488.776</v>
      </c>
      <c r="I124" s="21"/>
      <c r="J124" s="391">
        <f>IF(VLOOKUP(GAS!N124,'GAS ASCII'!$B$2:$D$200,3)&gt;=500000,VLOOKUP(GAS!N124,'GAS ASCII'!$B$2:$D$200,3)/-1000000,IF(VLOOKUP(GAS!N124,'GAS ASCII'!$B$2:$D$200,3)&lt;=0,"……………….","*"))</f>
        <v>-14848.995</v>
      </c>
      <c r="K124" s="21"/>
      <c r="L124" s="391">
        <f>IF(VLOOKUP(GAS!N124,'GAS ASCII'!$B$2:$E$200,4)&gt;=500000,VLOOKUP(GAS!N124,'GAS ASCII'!$B$2:$E$200,4)/1000000,IF(VLOOKUP(GAS!N124,'GAS ASCII'!$B$2:$E$200,4)&lt;=0,"……………….","*"))</f>
        <v>23639.781</v>
      </c>
      <c r="M124" s="21"/>
      <c r="N124" t="s">
        <v>598</v>
      </c>
      <c r="O124" s="278"/>
    </row>
    <row r="125" spans="3:15" ht="15.75" customHeight="1">
      <c r="C125" s="9" t="s">
        <v>473</v>
      </c>
      <c r="H125" s="391">
        <f>IF(VLOOKUP(GAS!N125,'GAS ASCII'!$B$2:$C$200,2)&gt;=500000,VLOOKUP(GAS!N125,'GAS ASCII'!$B$2:$C$200,2)/1000000,IF(VLOOKUP(GAS!N125,'GAS ASCII'!$B$2:$C$200,2)&lt;=0,"……………….","*"))</f>
        <v>0.501</v>
      </c>
      <c r="I125" s="21"/>
      <c r="J125" s="391" t="str">
        <f>IF(VLOOKUP(GAS!N125,'GAS ASCII'!$B$2:$D$200,3)&gt;=500000,VLOOKUP(GAS!N125,'GAS ASCII'!$B$2:$D$200,3)/-1000000,IF(VLOOKUP(GAS!N125,'GAS ASCII'!$B$2:$D$200,3)&lt;=0,"……………….","*"))</f>
        <v>……………….</v>
      </c>
      <c r="K125" s="21"/>
      <c r="L125" s="391">
        <f>IF(VLOOKUP(GAS!N125,'GAS ASCII'!$B$2:$E$200,4)&gt;=500000,VLOOKUP(GAS!N125,'GAS ASCII'!$B$2:$E$200,4)/1000000,IF(VLOOKUP(GAS!N125,'GAS ASCII'!$B$2:$E$200,4)&lt;=0,"……………….","*"))</f>
        <v>0.501</v>
      </c>
      <c r="M125" s="21"/>
      <c r="N125" t="s">
        <v>464</v>
      </c>
      <c r="O125" s="278"/>
    </row>
    <row r="126" spans="3:15" ht="15.75" customHeight="1">
      <c r="C126" s="9" t="s">
        <v>474</v>
      </c>
      <c r="H126" s="391">
        <f>IF(VLOOKUP(GAS!N126,'GAS ASCII'!$B$2:$C$200,2)&gt;=500000,VLOOKUP(GAS!N126,'GAS ASCII'!$B$2:$C$200,2)/1000000,IF(VLOOKUP(GAS!N126,'GAS ASCII'!$B$2:$C$200,2)&lt;=0,"……………….","*"))</f>
        <v>1.002</v>
      </c>
      <c r="I126" s="21"/>
      <c r="J126" s="391" t="str">
        <f>IF(VLOOKUP(GAS!N126,'GAS ASCII'!$B$2:$D$200,3)&gt;=500000,VLOOKUP(GAS!N126,'GAS ASCII'!$B$2:$D$200,3)/-1000000,IF(VLOOKUP(GAS!N126,'GAS ASCII'!$B$2:$D$200,3)&lt;=0,"……………….","*"))</f>
        <v>……………….</v>
      </c>
      <c r="K126" s="21"/>
      <c r="L126" s="391">
        <f>IF(VLOOKUP(GAS!N126,'GAS ASCII'!$B$2:$E$200,4)&gt;=500000,VLOOKUP(GAS!N126,'GAS ASCII'!$B$2:$E$200,4)/1000000,IF(VLOOKUP(GAS!N126,'GAS ASCII'!$B$2:$E$200,4)&lt;=0,"……………….","*"))</f>
        <v>1.002</v>
      </c>
      <c r="M126" s="21"/>
      <c r="N126" t="s">
        <v>466</v>
      </c>
      <c r="O126" s="278"/>
    </row>
    <row r="127" spans="3:15" ht="15.75" customHeight="1">
      <c r="C127" s="9" t="s">
        <v>890</v>
      </c>
      <c r="H127" s="391">
        <f>IF(VLOOKUP(GAS!N127,'GAS ASCII'!$B$2:$C$200,2)&gt;=500000,VLOOKUP(GAS!N127,'GAS ASCII'!$B$2:$C$200,2)/1000000,IF(VLOOKUP(GAS!N127,'GAS ASCII'!$B$2:$C$200,2)&lt;=0,"……………….","*"))</f>
        <v>12829.433</v>
      </c>
      <c r="I127" s="21"/>
      <c r="J127" s="391">
        <f>IF(VLOOKUP(GAS!N127,'GAS ASCII'!$B$2:$D$200,3)&gt;=500000,VLOOKUP(GAS!N127,'GAS ASCII'!$B$2:$D$200,3)/-1000000,IF(VLOOKUP(GAS!N127,'GAS ASCII'!$B$2:$D$200,3)&lt;=0,"……………….","*"))</f>
        <v>-16.797</v>
      </c>
      <c r="K127" s="181"/>
      <c r="L127" s="391">
        <f>IF(VLOOKUP(GAS!N127,'GAS ASCII'!$B$2:$E$200,4)&gt;=500000,VLOOKUP(GAS!N127,'GAS ASCII'!$B$2:$E$200,4)/1000000,IF(VLOOKUP(GAS!N127,'GAS ASCII'!$B$2:$E$200,4)&lt;=0,"……………….","*"))</f>
        <v>12812.636</v>
      </c>
      <c r="M127" s="21"/>
      <c r="N127" t="s">
        <v>600</v>
      </c>
      <c r="O127" s="278"/>
    </row>
    <row r="128" spans="3:15" ht="15.75" customHeight="1">
      <c r="C128" s="9" t="s">
        <v>687</v>
      </c>
      <c r="H128" s="391">
        <f>IF(VLOOKUP(GAS!N128,'GAS ASCII'!$B$2:$C$200,2)&gt;=500000,VLOOKUP(GAS!N128,'GAS ASCII'!$B$2:$C$200,2)/1000000,IF(VLOOKUP(GAS!N128,'GAS ASCII'!$B$2:$C$200,2)&lt;=0,"……………….","*"))</f>
        <v>2969.319</v>
      </c>
      <c r="I128" s="21"/>
      <c r="J128" s="391" t="str">
        <f>IF(VLOOKUP(GAS!N128,'GAS ASCII'!$B$2:$D$200,3)&gt;=500000,VLOOKUP(GAS!N128,'GAS ASCII'!$B$2:$D$200,3)/-1000000,IF(VLOOKUP(GAS!N128,'GAS ASCII'!$B$2:$D$200,3)&lt;=0,"……………….","*"))</f>
        <v>……………….</v>
      </c>
      <c r="K128" s="27"/>
      <c r="L128" s="391">
        <f>IF(VLOOKUP(GAS!N128,'GAS ASCII'!$B$2:$E$200,4)&gt;=500000,VLOOKUP(GAS!N128,'GAS ASCII'!$B$2:$E$200,4)/1000000,IF(VLOOKUP(GAS!N128,'GAS ASCII'!$B$2:$E$200,4)&lt;=0,"……………….","*"))</f>
        <v>2969.319</v>
      </c>
      <c r="M128" s="21"/>
      <c r="N128" t="s">
        <v>602</v>
      </c>
      <c r="O128" s="278"/>
    </row>
    <row r="129" spans="3:15" ht="15.75" customHeight="1">
      <c r="C129" s="9"/>
      <c r="H129" s="391"/>
      <c r="I129" s="21"/>
      <c r="J129" s="391"/>
      <c r="K129" s="27"/>
      <c r="L129" s="391"/>
      <c r="M129" s="21"/>
      <c r="O129" s="278"/>
    </row>
    <row r="130" spans="3:15" ht="15.75" customHeight="1">
      <c r="C130" s="9" t="s">
        <v>438</v>
      </c>
      <c r="H130" s="391">
        <f>IF(VLOOKUP(GAS!N130,'GAS ASCII'!$B$2:$C$200,2)&gt;=500000,VLOOKUP(GAS!N130,'GAS ASCII'!$B$2:$C$200,2)/1000000,IF(VLOOKUP(GAS!N130,'GAS ASCII'!$B$2:$C$200,2)&lt;=0,"……………….","*"))</f>
        <v>57.189</v>
      </c>
      <c r="I130" s="21"/>
      <c r="J130" s="391" t="str">
        <f>IF(VLOOKUP(GAS!N130,'GAS ASCII'!$B$2:$D$200,3)&gt;=500000,VLOOKUP(GAS!N130,'GAS ASCII'!$B$2:$D$200,3)/-1000000,IF(VLOOKUP(GAS!N130,'GAS ASCII'!$B$2:$D$200,3)&lt;=0,"……………….","*"))</f>
        <v>……………….</v>
      </c>
      <c r="K130" s="27"/>
      <c r="L130" s="391">
        <f>IF(VLOOKUP(GAS!N130,'GAS ASCII'!$B$2:$E$200,4)&gt;=500000,VLOOKUP(GAS!N130,'GAS ASCII'!$B$2:$E$200,4)/1000000,IF(VLOOKUP(GAS!N130,'GAS ASCII'!$B$2:$E$200,4)&lt;=0,"……………….","*"))</f>
        <v>57.189</v>
      </c>
      <c r="M130" s="21"/>
      <c r="N130" t="s">
        <v>604</v>
      </c>
      <c r="O130" s="278"/>
    </row>
    <row r="131" spans="3:15" ht="15.75" customHeight="1">
      <c r="C131" s="9" t="s">
        <v>887</v>
      </c>
      <c r="H131" s="391">
        <f>IF(VLOOKUP(GAS!N131,'GAS ASCII'!$B$2:$C$200,2)&gt;=500000,VLOOKUP(GAS!N131,'GAS ASCII'!$B$2:$C$200,2)/1000000,IF(VLOOKUP(GAS!N131,'GAS ASCII'!$B$2:$C$200,2)&lt;=0,"……………….","*"))</f>
        <v>4.617</v>
      </c>
      <c r="I131" s="21"/>
      <c r="J131" s="391" t="str">
        <f>IF(VLOOKUP(GAS!N131,'GAS ASCII'!$B$2:$D$200,3)&gt;=500000,VLOOKUP(GAS!N131,'GAS ASCII'!$B$2:$D$200,3)/-1000000,IF(VLOOKUP(GAS!N131,'GAS ASCII'!$B$2:$D$200,3)&lt;=0,"……………….","*"))</f>
        <v>……………….</v>
      </c>
      <c r="K131" s="27"/>
      <c r="L131" s="391">
        <f>IF(VLOOKUP(GAS!N131,'GAS ASCII'!$B$2:$E$200,4)&gt;=500000,VLOOKUP(GAS!N131,'GAS ASCII'!$B$2:$E$200,4)/1000000,IF(VLOOKUP(GAS!N131,'GAS ASCII'!$B$2:$E$200,4)&lt;=0,"……………….","*"))</f>
        <v>4.617</v>
      </c>
      <c r="M131" s="21"/>
      <c r="N131" t="s">
        <v>606</v>
      </c>
      <c r="O131" s="278"/>
    </row>
    <row r="132" spans="3:15" ht="15" customHeight="1">
      <c r="C132" s="9" t="s">
        <v>31</v>
      </c>
      <c r="H132" s="391" t="str">
        <f>IF(VLOOKUP(GAS!N132,'GAS ASCII'!$B$2:$C$200,2)&gt;=500000,VLOOKUP(GAS!N132,'GAS ASCII'!$B$2:$C$200,2)/1000000,IF(VLOOKUP(GAS!N132,'GAS ASCII'!$B$2:$C$200,2)&lt;=0,"……………….","*"))</f>
        <v>*</v>
      </c>
      <c r="I132" s="21"/>
      <c r="J132" s="391" t="str">
        <f>IF(VLOOKUP(GAS!N132,'GAS ASCII'!$B$2:$D$200,3)&gt;=500000,VLOOKUP(GAS!N132,'GAS ASCII'!$B$2:$D$200,3)/-1000000,IF(VLOOKUP(GAS!N132,'GAS ASCII'!$B$2:$D$200,3)&lt;=0,"……………….","*"))</f>
        <v>……………….</v>
      </c>
      <c r="K132" s="27"/>
      <c r="L132" s="391" t="str">
        <f>IF(VLOOKUP(GAS!N132,'GAS ASCII'!$B$2:$E$200,4)&gt;=500000,VLOOKUP(GAS!N132,'GAS ASCII'!$B$2:$E$200,4)/1000000,IF(VLOOKUP(GAS!N132,'GAS ASCII'!$B$2:$E$200,4)&lt;=0,"……………….","*"))</f>
        <v>*</v>
      </c>
      <c r="M132" s="21"/>
      <c r="N132" t="s">
        <v>608</v>
      </c>
      <c r="O132" s="278"/>
    </row>
    <row r="133" spans="3:15" ht="15.75" customHeight="1">
      <c r="C133" s="9" t="s">
        <v>1165</v>
      </c>
      <c r="H133" s="391">
        <f>IF(VLOOKUP(GAS!N133,'GAS ASCII'!$B$2:$C$200,2)&gt;=500000,VLOOKUP(GAS!N133,'GAS ASCII'!$B$2:$C$200,2)/1000000,IF(VLOOKUP(GAS!N133,'GAS ASCII'!$B$2:$C$200,2)&lt;=0,"……………….","*"))</f>
        <v>0.8120839200000001</v>
      </c>
      <c r="I133" s="21"/>
      <c r="J133" s="391" t="str">
        <f>IF(VLOOKUP(GAS!N133,'GAS ASCII'!$B$2:$D$200,3)&gt;=500000,VLOOKUP(GAS!N133,'GAS ASCII'!$B$2:$D$200,3)/-1000000,IF(VLOOKUP(GAS!N133,'GAS ASCII'!$B$2:$D$200,3)&lt;=0,"……………….","*"))</f>
        <v>……………….</v>
      </c>
      <c r="K133" s="3"/>
      <c r="L133" s="391">
        <f>IF(VLOOKUP(GAS!N133,'GAS ASCII'!$B$2:$E$200,4)&gt;=500000,VLOOKUP(GAS!N133,'GAS ASCII'!$B$2:$E$200,4)/1000000,IF(VLOOKUP(GAS!N133,'GAS ASCII'!$B$2:$E$200,4)&lt;=0,"……………….","*"))</f>
        <v>0.8120839200000001</v>
      </c>
      <c r="M133" s="21"/>
      <c r="N133" t="s">
        <v>610</v>
      </c>
      <c r="O133" s="278"/>
    </row>
    <row r="134" spans="3:15" ht="15.75" customHeight="1">
      <c r="C134" s="9" t="s">
        <v>562</v>
      </c>
      <c r="H134" s="391" t="str">
        <f>IF(VLOOKUP(GAS!N134,'GAS ASCII'!$B$2:$C$200,2)&gt;=500000,VLOOKUP(GAS!N134,'GAS ASCII'!$B$2:$C$200,2)/1000000,IF(VLOOKUP(GAS!N134,'GAS ASCII'!$B$2:$C$200,2)&lt;=0,"……………….","*"))</f>
        <v>*</v>
      </c>
      <c r="I134" s="21"/>
      <c r="J134" s="391" t="str">
        <f>IF(VLOOKUP(GAS!N134,'GAS ASCII'!$B$2:$D$200,3)&gt;=500000,VLOOKUP(GAS!N134,'GAS ASCII'!$B$2:$D$200,3)/-1000000,IF(VLOOKUP(GAS!N134,'GAS ASCII'!$B$2:$D$200,3)&lt;=0,"……………….","*"))</f>
        <v>……………….</v>
      </c>
      <c r="K134" s="27"/>
      <c r="L134" s="391" t="str">
        <f>IF(VLOOKUP(GAS!N134,'GAS ASCII'!$B$2:$E$200,4)&gt;=500000,VLOOKUP(GAS!N134,'GAS ASCII'!$B$2:$E$200,4)/1000000,IF(VLOOKUP(GAS!N134,'GAS ASCII'!$B$2:$E$200,4)&lt;=0,"……………….","*"))</f>
        <v>*</v>
      </c>
      <c r="M134" s="21"/>
      <c r="N134" t="s">
        <v>722</v>
      </c>
      <c r="O134" s="278"/>
    </row>
    <row r="135" spans="3:15" ht="15.75" customHeight="1">
      <c r="C135" s="9" t="s">
        <v>439</v>
      </c>
      <c r="H135" s="391">
        <f>IF(VLOOKUP(GAS!N135,'GAS ASCII'!$B$2:$C$200,2)&gt;=500000,VLOOKUP(GAS!N135,'GAS ASCII'!$B$2:$C$200,2)/1000000,IF(VLOOKUP(GAS!N135,'GAS ASCII'!$B$2:$C$200,2)&lt;=0,"……………….","*"))</f>
        <v>0.832</v>
      </c>
      <c r="I135" s="21"/>
      <c r="J135" s="391" t="str">
        <f>IF(VLOOKUP(GAS!N135,'GAS ASCII'!$B$2:$D$200,3)&gt;=500000,VLOOKUP(GAS!N135,'GAS ASCII'!$B$2:$D$200,3)/-1000000,IF(VLOOKUP(GAS!N135,'GAS ASCII'!$B$2:$D$200,3)&lt;=0,"……………….","*"))</f>
        <v>……………….</v>
      </c>
      <c r="K135" s="3"/>
      <c r="L135" s="391">
        <f>IF(VLOOKUP(GAS!N135,'GAS ASCII'!$B$2:$E$200,4)&gt;=500000,VLOOKUP(GAS!N135,'GAS ASCII'!$B$2:$E$200,4)/1000000,IF(VLOOKUP(GAS!N135,'GAS ASCII'!$B$2:$E$200,4)&lt;=0,"……………….","*"))</f>
        <v>0.832</v>
      </c>
      <c r="M135" s="21"/>
      <c r="N135" t="s">
        <v>724</v>
      </c>
      <c r="O135" s="278"/>
    </row>
    <row r="136" spans="3:15" ht="14.25" customHeight="1">
      <c r="C136" s="9" t="s">
        <v>151</v>
      </c>
      <c r="H136" s="391"/>
      <c r="I136" s="21"/>
      <c r="J136" s="391"/>
      <c r="K136" s="21"/>
      <c r="L136" s="391"/>
      <c r="M136" s="21"/>
      <c r="O136" s="278"/>
    </row>
    <row r="137" spans="3:15" ht="15.75" customHeight="1">
      <c r="C137" s="9" t="s">
        <v>688</v>
      </c>
      <c r="H137" s="391">
        <f>IF(VLOOKUP(GAS!N137,'GAS ASCII'!$B$2:$C$200,2)&gt;=500000,VLOOKUP(GAS!N137,'GAS ASCII'!$B$2:$C$200,2)/1000000,IF(VLOOKUP(GAS!N137,'GAS ASCII'!$B$2:$C$200,2)&lt;=0,"……………….","*"))</f>
        <v>7528.199</v>
      </c>
      <c r="I137" s="21"/>
      <c r="J137" s="391" t="str">
        <f>IF(VLOOKUP(GAS!N137,'GAS ASCII'!$B$2:$D$200,3)&gt;=500000,VLOOKUP(GAS!N137,'GAS ASCII'!$B$2:$D$200,3)/-1000000,IF(VLOOKUP(GAS!N137,'GAS ASCII'!$B$2:$D$200,3)&lt;=0,"……………….","*"))</f>
        <v>……………….</v>
      </c>
      <c r="K137" s="27"/>
      <c r="L137" s="391">
        <f>IF(VLOOKUP(GAS!N137,'GAS ASCII'!$B$2:$E$200,4)&gt;=500000,VLOOKUP(GAS!N137,'GAS ASCII'!$B$2:$E$200,4)/1000000,IF(VLOOKUP(GAS!N137,'GAS ASCII'!$B$2:$E$200,4)&lt;=0,"……………….","*"))</f>
        <v>7528.199</v>
      </c>
      <c r="M137" s="21"/>
      <c r="N137" t="s">
        <v>726</v>
      </c>
      <c r="O137" s="278"/>
    </row>
    <row r="138" spans="2:15" ht="18" customHeight="1">
      <c r="B138" s="7"/>
      <c r="E138" s="43"/>
      <c r="H138" s="391"/>
      <c r="J138" s="391"/>
      <c r="L138" s="391"/>
      <c r="O138" s="278"/>
    </row>
    <row r="139" spans="3:15" ht="15.75" customHeight="1">
      <c r="C139" s="9" t="s">
        <v>153</v>
      </c>
      <c r="H139" s="391">
        <f>IF(VLOOKUP(GAS!N139,'GAS ASCII'!$B$2:$C$200,2)&gt;=500000,VLOOKUP(GAS!N139,'GAS ASCII'!$B$2:$C$200,2)/1000000,IF(VLOOKUP(GAS!N139,'GAS ASCII'!$B$2:$C$200,2)&lt;=0,"……………….","*"))</f>
        <v>2139.976</v>
      </c>
      <c r="I139" s="21"/>
      <c r="J139" s="391" t="str">
        <f>IF(VLOOKUP(GAS!N139,'GAS ASCII'!$B$2:$D$200,3)&gt;=500000,VLOOKUP(GAS!N139,'GAS ASCII'!$B$2:$D$200,3)/-1000000,IF(VLOOKUP(GAS!N139,'GAS ASCII'!$B$2:$D$200,3)&lt;=0,"……………….","*"))</f>
        <v>……………….</v>
      </c>
      <c r="K139" s="27"/>
      <c r="L139" s="391">
        <f>IF(VLOOKUP(GAS!N139,'GAS ASCII'!$B$2:$E$200,4)&gt;=500000,VLOOKUP(GAS!N139,'GAS ASCII'!$B$2:$E$200,4)/1000000,IF(VLOOKUP(GAS!N139,'GAS ASCII'!$B$2:$E$200,4)&lt;=0,"……………….","*"))</f>
        <v>2139.976</v>
      </c>
      <c r="M139" s="21"/>
      <c r="N139" t="s">
        <v>728</v>
      </c>
      <c r="O139" s="278"/>
    </row>
    <row r="140" spans="3:15" ht="15.75" customHeight="1">
      <c r="C140" s="9" t="s">
        <v>197</v>
      </c>
      <c r="H140" s="391"/>
      <c r="I140" s="21"/>
      <c r="J140" s="391"/>
      <c r="K140" s="21"/>
      <c r="L140" s="391"/>
      <c r="M140" s="21"/>
      <c r="O140" s="278"/>
    </row>
    <row r="141" spans="3:15" ht="15.75" customHeight="1">
      <c r="C141" s="9" t="s">
        <v>689</v>
      </c>
      <c r="H141" s="391">
        <f>IF(VLOOKUP(GAS!N141,'GAS ASCII'!$B$2:$C$200,2)&gt;=500000,VLOOKUP(GAS!N141,'GAS ASCII'!$B$2:$C$200,2)/1000000,IF(VLOOKUP(GAS!N141,'GAS ASCII'!$B$2:$C$200,2)&lt;=0,"……………….","*"))</f>
        <v>54.759</v>
      </c>
      <c r="I141" s="21"/>
      <c r="J141" s="391" t="str">
        <f>IF(VLOOKUP(GAS!N141,'GAS ASCII'!$B$2:$D$200,3)&gt;=500000,VLOOKUP(GAS!N141,'GAS ASCII'!$B$2:$D$200,3)/-1000000,IF(VLOOKUP(GAS!N141,'GAS ASCII'!$B$2:$D$200,3)&lt;=0,"……………….","*"))</f>
        <v>……………….</v>
      </c>
      <c r="K141" s="21"/>
      <c r="L141" s="391">
        <f>IF(VLOOKUP(GAS!N141,'GAS ASCII'!$B$2:$E$200,4)&gt;=500000,VLOOKUP(GAS!N141,'GAS ASCII'!$B$2:$E$200,4)/1000000,IF(VLOOKUP(GAS!N141,'GAS ASCII'!$B$2:$E$200,4)&lt;=0,"……………….","*"))</f>
        <v>54.759</v>
      </c>
      <c r="M141" s="21"/>
      <c r="N141" t="s">
        <v>730</v>
      </c>
      <c r="O141" s="278"/>
    </row>
    <row r="142" spans="3:15" ht="15.75" customHeight="1">
      <c r="C142" s="9" t="s">
        <v>865</v>
      </c>
      <c r="H142" s="391">
        <f>IF(VLOOKUP(GAS!N142,'GAS ASCII'!$B$2:$C$200,2)&gt;=500000,VLOOKUP(GAS!N142,'GAS ASCII'!$B$2:$C$200,2)/1000000,IF(VLOOKUP(GAS!N142,'GAS ASCII'!$B$2:$C$200,2)&lt;=0,"……………….","*"))</f>
        <v>2187.686</v>
      </c>
      <c r="I142" s="21"/>
      <c r="J142" s="391" t="str">
        <f>IF(VLOOKUP(GAS!N142,'GAS ASCII'!$B$2:$D$200,3)&gt;=500000,VLOOKUP(GAS!N142,'GAS ASCII'!$B$2:$D$200,3)/-1000000,IF(VLOOKUP(GAS!N142,'GAS ASCII'!$B$2:$D$200,3)&lt;=0,"……………….","*"))</f>
        <v>……………….</v>
      </c>
      <c r="K142" s="27"/>
      <c r="L142" s="391">
        <f>IF(VLOOKUP(GAS!N142,'GAS ASCII'!$B$2:$E$200,4)&gt;=500000,VLOOKUP(GAS!N142,'GAS ASCII'!$B$2:$E$200,4)/1000000,IF(VLOOKUP(GAS!N142,'GAS ASCII'!$B$2:$E$200,4)&lt;=0,"……………….","*"))</f>
        <v>2187.686</v>
      </c>
      <c r="M142" s="21"/>
      <c r="N142" t="s">
        <v>731</v>
      </c>
      <c r="O142" s="278"/>
    </row>
    <row r="143" spans="3:15" ht="15.75" customHeight="1">
      <c r="C143" s="9" t="s">
        <v>199</v>
      </c>
      <c r="H143" s="391">
        <f>IF(VLOOKUP(GAS!N143,'GAS ASCII'!$B$2:$C$200,2)&gt;=500000,VLOOKUP(GAS!N143,'GAS ASCII'!$B$2:$C$200,2)/1000000,IF(VLOOKUP(GAS!N143,'GAS ASCII'!$B$2:$C$200,2)&lt;=0,"……………….","*"))</f>
        <v>16737.851</v>
      </c>
      <c r="I143" s="21"/>
      <c r="J143" s="391">
        <f>IF(VLOOKUP(GAS!N143,'GAS ASCII'!$B$2:$D$200,3)&gt;=500000,VLOOKUP(GAS!N143,'GAS ASCII'!$B$2:$D$200,3)/-1000000,IF(VLOOKUP(GAS!N143,'GAS ASCII'!$B$2:$D$200,3)&lt;=0,"……………….","*"))</f>
        <v>-3003.924</v>
      </c>
      <c r="K143" s="27"/>
      <c r="L143" s="391">
        <f>IF(VLOOKUP(GAS!N143,'GAS ASCII'!$B$2:$E$200,4)&gt;=500000,VLOOKUP(GAS!N143,'GAS ASCII'!$B$2:$E$200,4)/1000000,IF(VLOOKUP(GAS!N143,'GAS ASCII'!$B$2:$E$200,4)&lt;=0,"……………….","*"))</f>
        <v>13733.927</v>
      </c>
      <c r="M143" s="21"/>
      <c r="N143" t="s">
        <v>733</v>
      </c>
      <c r="O143" s="278"/>
    </row>
    <row r="144" spans="3:15" ht="15.75" customHeight="1">
      <c r="C144" s="9" t="s">
        <v>851</v>
      </c>
      <c r="H144" s="391">
        <f>IF(VLOOKUP(GAS!N144,'GAS ASCII'!$B$2:$C$200,2)&gt;=500000,VLOOKUP(GAS!N144,'GAS ASCII'!$B$2:$C$200,2)/1000000,IF(VLOOKUP(GAS!N144,'GAS ASCII'!$B$2:$C$200,2)&lt;=0,"……………….","*"))</f>
        <v>4.33052025</v>
      </c>
      <c r="I144" s="21"/>
      <c r="J144" s="391" t="str">
        <f>IF(VLOOKUP(GAS!N144,'GAS ASCII'!$B$2:$D$200,3)&gt;=500000,VLOOKUP(GAS!N144,'GAS ASCII'!$B$2:$D$200,3)/-1000000,IF(VLOOKUP(GAS!N144,'GAS ASCII'!$B$2:$D$200,3)&lt;=0,"……………….","*"))</f>
        <v>……………….</v>
      </c>
      <c r="K144" s="27"/>
      <c r="L144" s="391">
        <f>IF(VLOOKUP(GAS!N144,'GAS ASCII'!$B$2:$E$200,4)&gt;=500000,VLOOKUP(GAS!N144,'GAS ASCII'!$B$2:$E$200,4)/1000000,IF(VLOOKUP(GAS!N144,'GAS ASCII'!$B$2:$E$200,4)&lt;=0,"……………….","*"))</f>
        <v>4.33052025</v>
      </c>
      <c r="M144" s="21"/>
      <c r="N144" t="s">
        <v>1144</v>
      </c>
      <c r="O144" s="278"/>
    </row>
    <row r="145" spans="3:15" ht="15.75" customHeight="1">
      <c r="C145" s="9"/>
      <c r="H145" s="391"/>
      <c r="I145" s="21"/>
      <c r="J145" s="391"/>
      <c r="K145" s="27"/>
      <c r="L145" s="391"/>
      <c r="M145" s="21"/>
      <c r="O145" s="278"/>
    </row>
    <row r="146" spans="3:15" ht="15.75" customHeight="1">
      <c r="C146" s="9" t="s">
        <v>690</v>
      </c>
      <c r="H146" s="391">
        <f>IF(VLOOKUP(GAS!N146,'GAS ASCII'!$B$2:$C$200,2)&gt;=500000,VLOOKUP(GAS!N146,'GAS ASCII'!$B$2:$C$200,2)/1000000,IF(VLOOKUP(GAS!N146,'GAS ASCII'!$B$2:$C$200,2)&lt;=0,"……………….","*"))</f>
        <v>353.48</v>
      </c>
      <c r="I146" s="21"/>
      <c r="J146" s="391" t="str">
        <f>IF(VLOOKUP(GAS!N146,'GAS ASCII'!$B$2:$D$200,3)&gt;=500000,VLOOKUP(GAS!N146,'GAS ASCII'!$B$2:$D$200,3)/-1000000,IF(VLOOKUP(GAS!N146,'GAS ASCII'!$B$2:$D$200,3)&lt;=0,"……………….","*"))</f>
        <v>……………….</v>
      </c>
      <c r="K146" s="27"/>
      <c r="L146" s="391">
        <f>IF(VLOOKUP(GAS!N146,'GAS ASCII'!$B$2:$E$200,4)&gt;=500000,VLOOKUP(GAS!N146,'GAS ASCII'!$B$2:$E$200,4)/1000000,IF(VLOOKUP(GAS!N146,'GAS ASCII'!$B$2:$E$200,4)&lt;=0,"……………….","*"))</f>
        <v>353.48</v>
      </c>
      <c r="M146" s="21"/>
      <c r="N146" t="s">
        <v>735</v>
      </c>
      <c r="O146" s="278"/>
    </row>
    <row r="147" spans="3:15" ht="15.75" customHeight="1">
      <c r="C147" s="131" t="s">
        <v>559</v>
      </c>
      <c r="H147" s="391" t="str">
        <f>IF(VLOOKUP(GAS!N147,'GAS ASCII'!$B$2:$C$200,2)&gt;=500000,VLOOKUP(GAS!N147,'GAS ASCII'!$B$2:$C$200,2)/1000000,IF(VLOOKUP(GAS!N147,'GAS ASCII'!$B$2:$C$200,2)&lt;=0,"……………….","*"))</f>
        <v>*</v>
      </c>
      <c r="I147" s="21"/>
      <c r="J147" s="391" t="str">
        <f>IF(VLOOKUP(GAS!N147,'GAS ASCII'!$B$2:$D$200,3)&gt;=500000,VLOOKUP(GAS!N147,'GAS ASCII'!$B$2:$D$200,3)/-1000000,IF(VLOOKUP(GAS!N147,'GAS ASCII'!$B$2:$D$200,3)&lt;=0,"……………….","*"))</f>
        <v>……………….</v>
      </c>
      <c r="K147" s="27"/>
      <c r="L147" s="391" t="str">
        <f>IF(VLOOKUP(GAS!N147,'GAS ASCII'!$B$2:$E$200,4)&gt;=500000,VLOOKUP(GAS!N147,'GAS ASCII'!$B$2:$E$200,4)/1000000,IF(VLOOKUP(GAS!N147,'GAS ASCII'!$B$2:$E$200,4)&lt;=0,"……………….","*"))</f>
        <v>*</v>
      </c>
      <c r="M147" s="21"/>
      <c r="N147" t="s">
        <v>795</v>
      </c>
      <c r="O147" s="278"/>
    </row>
    <row r="148" spans="3:15" ht="15.75" customHeight="1">
      <c r="C148" s="9" t="s">
        <v>509</v>
      </c>
      <c r="H148" s="391">
        <f>IF(VLOOKUP(GAS!N148,'GAS ASCII'!$B$2:$C$200,2)&gt;=500000,VLOOKUP(GAS!N148,'GAS ASCII'!$B$2:$C$200,2)/1000000,IF(VLOOKUP(GAS!N148,'GAS ASCII'!$B$2:$C$200,2)&lt;=0,"……………….","*"))</f>
        <v>4.427</v>
      </c>
      <c r="I148" s="21"/>
      <c r="J148" s="391" t="str">
        <f>IF(VLOOKUP(GAS!N148,'GAS ASCII'!$B$2:$D$200,3)&gt;=500000,VLOOKUP(GAS!N148,'GAS ASCII'!$B$2:$D$200,3)/-1000000,IF(VLOOKUP(GAS!N148,'GAS ASCII'!$B$2:$D$200,3)&lt;=0,"……………….","*"))</f>
        <v>*</v>
      </c>
      <c r="K148" s="3"/>
      <c r="L148" s="391">
        <f>IF(VLOOKUP(GAS!N148,'GAS ASCII'!$B$2:$E$200,4)&gt;=500000,VLOOKUP(GAS!N148,'GAS ASCII'!$B$2:$E$200,4)/1000000,IF(VLOOKUP(GAS!N148,'GAS ASCII'!$B$2:$E$200,4)&lt;=0,"……………….","*"))</f>
        <v>4.277</v>
      </c>
      <c r="M148" s="21"/>
      <c r="N148" t="s">
        <v>797</v>
      </c>
      <c r="O148" s="278"/>
    </row>
    <row r="149" spans="8:15" ht="15.75" customHeight="1">
      <c r="H149" s="391"/>
      <c r="J149" s="391"/>
      <c r="L149" s="391"/>
      <c r="O149" s="278"/>
    </row>
    <row r="150" spans="3:15" ht="15.75" customHeight="1">
      <c r="C150" s="9" t="s">
        <v>183</v>
      </c>
      <c r="H150" s="391">
        <f>IF(VLOOKUP(GAS!N150,'GAS ASCII'!$B$2:$C$200,2)&gt;=500000,VLOOKUP(GAS!N150,'GAS ASCII'!$B$2:$C$200,2)/1000000,IF(VLOOKUP(GAS!N150,'GAS ASCII'!$B$2:$C$200,2)&lt;=0,"……………….","*"))</f>
        <v>37.267</v>
      </c>
      <c r="I150" s="21"/>
      <c r="J150" s="391" t="str">
        <f>IF(VLOOKUP(GAS!N150,'GAS ASCII'!$B$2:$D$200,3)&gt;=500000,VLOOKUP(GAS!N150,'GAS ASCII'!$B$2:$D$200,3)/-1000000,IF(VLOOKUP(GAS!N150,'GAS ASCII'!$B$2:$D$200,3)&lt;=0,"……………….","*"))</f>
        <v>……………….</v>
      </c>
      <c r="K150" s="27"/>
      <c r="L150" s="391">
        <f>IF(VLOOKUP(GAS!N150,'GAS ASCII'!$B$2:$E$200,4)&gt;=500000,VLOOKUP(GAS!N150,'GAS ASCII'!$B$2:$E$200,4)/1000000,IF(VLOOKUP(GAS!N150,'GAS ASCII'!$B$2:$E$200,4)&lt;=0,"……………….","*"))</f>
        <v>37.267</v>
      </c>
      <c r="M150" s="21"/>
      <c r="N150" t="s">
        <v>799</v>
      </c>
      <c r="O150" s="278"/>
    </row>
    <row r="151" spans="3:15" ht="15.75" customHeight="1">
      <c r="C151" s="9" t="s">
        <v>184</v>
      </c>
      <c r="H151" s="391"/>
      <c r="I151" s="21"/>
      <c r="J151" s="391"/>
      <c r="K151" s="21"/>
      <c r="L151" s="391"/>
      <c r="M151" s="21"/>
      <c r="O151" s="278"/>
    </row>
    <row r="152" spans="3:15" ht="15.75" customHeight="1">
      <c r="C152" s="9" t="s">
        <v>263</v>
      </c>
      <c r="H152" s="391">
        <f>IF(VLOOKUP(GAS!N152,'GAS ASCII'!$B$2:$C$200,2)&gt;=500000,VLOOKUP(GAS!N152,'GAS ASCII'!$B$2:$C$200,2)/1000000,IF(VLOOKUP(GAS!N152,'GAS ASCII'!$B$2:$C$200,2)&lt;=0,"……………….","*"))</f>
        <v>35.292</v>
      </c>
      <c r="I152" s="21"/>
      <c r="J152" s="391" t="str">
        <f>IF(VLOOKUP(GAS!N152,'GAS ASCII'!$B$2:$D$200,3)&gt;=500000,VLOOKUP(GAS!N152,'GAS ASCII'!$B$2:$D$200,3)/-1000000,IF(VLOOKUP(GAS!N152,'GAS ASCII'!$B$2:$D$200,3)&lt;=0,"……………….","*"))</f>
        <v>*</v>
      </c>
      <c r="K152" s="3"/>
      <c r="L152" s="391">
        <f>IF(VLOOKUP(GAS!N152,'GAS ASCII'!$B$2:$E$200,4)&gt;=500000,VLOOKUP(GAS!N152,'GAS ASCII'!$B$2:$E$200,4)/1000000,IF(VLOOKUP(GAS!N152,'GAS ASCII'!$B$2:$E$200,4)&lt;=0,"……………….","*"))</f>
        <v>35.116</v>
      </c>
      <c r="M152" s="21"/>
      <c r="N152" t="s">
        <v>801</v>
      </c>
      <c r="O152" s="278"/>
    </row>
    <row r="153" spans="3:15" ht="15.75" customHeight="1">
      <c r="C153" s="9" t="s">
        <v>1133</v>
      </c>
      <c r="H153" s="391">
        <f>IF(VLOOKUP(GAS!N153,'GAS ASCII'!$B$2:$C$200,2)&gt;=500000,VLOOKUP(GAS!N153,'GAS ASCII'!$B$2:$C$200,2)/1000000,IF(VLOOKUP(GAS!N153,'GAS ASCII'!$B$2:$C$200,2)&lt;=0,"……………….","*"))</f>
        <v>10.932</v>
      </c>
      <c r="I153" s="21"/>
      <c r="J153" s="391" t="str">
        <f>IF(VLOOKUP(GAS!N153,'GAS ASCII'!$B$2:$D$200,3)&gt;=500000,VLOOKUP(GAS!N153,'GAS ASCII'!$B$2:$D$200,3)/-1000000,IF(VLOOKUP(GAS!N153,'GAS ASCII'!$B$2:$D$200,3)&lt;=0,"……………….","*"))</f>
        <v>*</v>
      </c>
      <c r="K153" s="3"/>
      <c r="L153" s="391">
        <f>IF(VLOOKUP(GAS!N153,'GAS ASCII'!$B$2:$E$200,4)&gt;=500000,VLOOKUP(GAS!N153,'GAS ASCII'!$B$2:$E$200,4)/1000000,IF(VLOOKUP(GAS!N153,'GAS ASCII'!$B$2:$E$200,4)&lt;=0,"……………….","*"))</f>
        <v>10.682</v>
      </c>
      <c r="M153" s="21"/>
      <c r="N153" t="s">
        <v>803</v>
      </c>
      <c r="O153" s="278"/>
    </row>
    <row r="154" spans="3:15" ht="15.75" customHeight="1">
      <c r="C154" s="9" t="s">
        <v>86</v>
      </c>
      <c r="H154" s="391">
        <f>IF(VLOOKUP(GAS!N154,'GAS ASCII'!$B$2:$C$200,2)&gt;=500000,VLOOKUP(GAS!N154,'GAS ASCII'!$B$2:$C$200,2)/1000000,IF(VLOOKUP(GAS!N154,'GAS ASCII'!$B$2:$C$200,2)&lt;=0,"……………….","*"))</f>
        <v>185.332</v>
      </c>
      <c r="I154" s="21"/>
      <c r="J154" s="391" t="str">
        <f>IF(VLOOKUP(GAS!N154,'GAS ASCII'!$B$2:$D$200,3)&gt;=500000,VLOOKUP(GAS!N154,'GAS ASCII'!$B$2:$D$200,3)/-1000000,IF(VLOOKUP(GAS!N154,'GAS ASCII'!$B$2:$D$200,3)&lt;=0,"……………….","*"))</f>
        <v>……………….</v>
      </c>
      <c r="K154" s="27"/>
      <c r="L154" s="391">
        <f>IF(VLOOKUP(GAS!N154,'GAS ASCII'!$B$2:$E$200,4)&gt;=500000,VLOOKUP(GAS!N154,'GAS ASCII'!$B$2:$E$200,4)/1000000,IF(VLOOKUP(GAS!N154,'GAS ASCII'!$B$2:$E$200,4)&lt;=0,"……………….","*"))</f>
        <v>185.332</v>
      </c>
      <c r="M154" s="21"/>
      <c r="N154" t="s">
        <v>805</v>
      </c>
      <c r="O154" s="278"/>
    </row>
    <row r="155" spans="3:15" ht="15.75" customHeight="1">
      <c r="C155" s="9" t="s">
        <v>88</v>
      </c>
      <c r="H155" s="391">
        <f>IF(VLOOKUP(GAS!N155,'GAS ASCII'!$B$2:$C$200,2)&gt;=500000,VLOOKUP(GAS!N155,'GAS ASCII'!$B$2:$C$200,2)/1000000,IF(VLOOKUP(GAS!N155,'GAS ASCII'!$B$2:$C$200,2)&lt;=0,"……………….","*"))</f>
        <v>437.635</v>
      </c>
      <c r="I155" s="21"/>
      <c r="J155" s="391" t="str">
        <f>IF(VLOOKUP(GAS!N155,'GAS ASCII'!$B$2:$D$200,3)&gt;=500000,VLOOKUP(GAS!N155,'GAS ASCII'!$B$2:$D$200,3)/-1000000,IF(VLOOKUP(GAS!N155,'GAS ASCII'!$B$2:$D$200,3)&lt;=0,"……………….","*"))</f>
        <v>……………….</v>
      </c>
      <c r="K155" s="27"/>
      <c r="L155" s="391">
        <f>IF(VLOOKUP(GAS!N155,'GAS ASCII'!$B$2:$E$200,4)&gt;=500000,VLOOKUP(GAS!N155,'GAS ASCII'!$B$2:$E$200,4)/1000000,IF(VLOOKUP(GAS!N155,'GAS ASCII'!$B$2:$E$200,4)&lt;=0,"……………….","*"))</f>
        <v>437.635</v>
      </c>
      <c r="M155" s="21"/>
      <c r="N155" t="s">
        <v>807</v>
      </c>
      <c r="O155" s="278"/>
    </row>
    <row r="156" spans="8:15" ht="15.75" customHeight="1">
      <c r="H156" s="391"/>
      <c r="I156" s="21"/>
      <c r="J156" s="391"/>
      <c r="K156" s="21"/>
      <c r="L156" s="391"/>
      <c r="M156" s="21"/>
      <c r="O156" s="278"/>
    </row>
    <row r="157" spans="3:15" ht="15.75" customHeight="1">
      <c r="C157" s="9" t="s">
        <v>93</v>
      </c>
      <c r="H157" s="391">
        <f>IF(VLOOKUP(GAS!N157,'GAS ASCII'!$B$2:$C$200,2)&gt;=500000,VLOOKUP(GAS!N157,'GAS ASCII'!$B$2:$C$200,2)/1000000,IF(VLOOKUP(GAS!N157,'GAS ASCII'!$B$2:$C$200,2)&lt;=0,"……………….","*"))</f>
        <v>6.928</v>
      </c>
      <c r="I157" s="21"/>
      <c r="J157" s="391" t="str">
        <f>IF(VLOOKUP(GAS!N157,'GAS ASCII'!$B$2:$D$200,3)&gt;=500000,VLOOKUP(GAS!N157,'GAS ASCII'!$B$2:$D$200,3)/-1000000,IF(VLOOKUP(GAS!N157,'GAS ASCII'!$B$2:$D$200,3)&lt;=0,"……………….","*"))</f>
        <v>*</v>
      </c>
      <c r="K157" s="3"/>
      <c r="L157" s="391">
        <f>IF(VLOOKUP(GAS!N157,'GAS ASCII'!$B$2:$E$200,4)&gt;=500000,VLOOKUP(GAS!N157,'GAS ASCII'!$B$2:$E$200,4)/1000000,IF(VLOOKUP(GAS!N157,'GAS ASCII'!$B$2:$E$200,4)&lt;=0,"……………….","*"))</f>
        <v>6.838</v>
      </c>
      <c r="M157" s="21"/>
      <c r="N157" t="s">
        <v>809</v>
      </c>
      <c r="O157" s="278"/>
    </row>
    <row r="158" spans="3:15" ht="15.75" customHeight="1">
      <c r="C158" s="9"/>
      <c r="H158" s="391"/>
      <c r="I158" s="21"/>
      <c r="J158" s="391"/>
      <c r="K158" s="3"/>
      <c r="L158" s="391"/>
      <c r="M158" s="21"/>
      <c r="O158" s="278"/>
    </row>
    <row r="159" spans="3:15" ht="15.75" customHeight="1">
      <c r="C159" s="9" t="s">
        <v>1160</v>
      </c>
      <c r="H159" s="391">
        <f>IF(VLOOKUP(GAS!N159,'GAS ASCII'!$B$2:$C$200,2)&gt;=500000,VLOOKUP(GAS!N159,'GAS ASCII'!$B$2:$C$200,2)/1000000,IF(VLOOKUP(GAS!N159,'GAS ASCII'!$B$2:$C$200,2)&lt;=0,"……………….","*"))</f>
        <v>4.116</v>
      </c>
      <c r="I159" s="21"/>
      <c r="J159" s="391" t="str">
        <f>IF(VLOOKUP(GAS!N159,'GAS ASCII'!$B$2:$D$200,3)&gt;=500000,VLOOKUP(GAS!N159,'GAS ASCII'!$B$2:$D$200,3)/-1000000,IF(VLOOKUP(GAS!N159,'GAS ASCII'!$B$2:$D$200,3)&lt;=0,"……………….","*"))</f>
        <v>……………….</v>
      </c>
      <c r="K159" s="27"/>
      <c r="L159" s="391">
        <f>IF(VLOOKUP(GAS!N159,'GAS ASCII'!$B$2:$E$200,4)&gt;=500000,VLOOKUP(GAS!N159,'GAS ASCII'!$B$2:$E$200,4)/1000000,IF(VLOOKUP(GAS!N159,'GAS ASCII'!$B$2:$E$200,4)&lt;=0,"……………….","*"))</f>
        <v>4.116</v>
      </c>
      <c r="M159" s="21"/>
      <c r="N159" t="s">
        <v>811</v>
      </c>
      <c r="O159" s="278"/>
    </row>
    <row r="160" spans="3:15" ht="15.75" customHeight="1">
      <c r="C160" s="9" t="s">
        <v>236</v>
      </c>
      <c r="H160" s="391">
        <f>IF(VLOOKUP(GAS!N160,'GAS ASCII'!$B$2:$C$200,2)&gt;=500000,VLOOKUP(GAS!N160,'GAS ASCII'!$B$2:$C$200,2)/1000000,IF(VLOOKUP(GAS!N160,'GAS ASCII'!$B$2:$C$200,2)&lt;=0,"……………….","*"))</f>
        <v>2018.94</v>
      </c>
      <c r="I160" s="21"/>
      <c r="J160" s="391" t="str">
        <f>IF(VLOOKUP(GAS!N160,'GAS ASCII'!$B$2:$D$200,3)&gt;=500000,VLOOKUP(GAS!N160,'GAS ASCII'!$B$2:$D$200,3)/-1000000,IF(VLOOKUP(GAS!N160,'GAS ASCII'!$B$2:$D$200,3)&lt;=0,"……………….","*"))</f>
        <v>……………….</v>
      </c>
      <c r="K160" s="27"/>
      <c r="L160" s="391">
        <f>IF(VLOOKUP(GAS!N160,'GAS ASCII'!$B$2:$E$200,4)&gt;=500000,VLOOKUP(GAS!N160,'GAS ASCII'!$B$2:$E$200,4)/1000000,IF(VLOOKUP(GAS!N160,'GAS ASCII'!$B$2:$E$200,4)&lt;=0,"……………….","*"))</f>
        <v>2018.94</v>
      </c>
      <c r="M160" s="21"/>
      <c r="N160" t="s">
        <v>813</v>
      </c>
      <c r="O160" s="278"/>
    </row>
    <row r="161" spans="3:15" ht="15.75" customHeight="1">
      <c r="C161" s="9" t="s">
        <v>1109</v>
      </c>
      <c r="H161" s="391">
        <f>IF(VLOOKUP(GAS!N161,'GAS ASCII'!$B$2:$C$200,2)&gt;=500000,VLOOKUP(GAS!N161,'GAS ASCII'!$B$2:$C$200,2)/1000000,IF(VLOOKUP(GAS!N161,'GAS ASCII'!$B$2:$C$200,2)&lt;=0,"……………….","*"))</f>
        <v>8.234</v>
      </c>
      <c r="I161" s="21"/>
      <c r="J161" s="391" t="str">
        <f>IF(VLOOKUP(GAS!N161,'GAS ASCII'!$B$2:$D$200,3)&gt;=500000,VLOOKUP(GAS!N161,'GAS ASCII'!$B$2:$D$200,3)/-1000000,IF(VLOOKUP(GAS!N161,'GAS ASCII'!$B$2:$D$200,3)&lt;=0,"……………….","*"))</f>
        <v>……………….</v>
      </c>
      <c r="K161" s="27"/>
      <c r="L161" s="391">
        <f>IF(VLOOKUP(GAS!N161,'GAS ASCII'!$B$2:$E$200,4)&gt;=500000,VLOOKUP(GAS!N161,'GAS ASCII'!$B$2:$E$200,4)/1000000,IF(VLOOKUP(GAS!N161,'GAS ASCII'!$B$2:$E$200,4)&lt;=0,"……………….","*"))</f>
        <v>8.234</v>
      </c>
      <c r="M161" s="21"/>
      <c r="N161" t="s">
        <v>815</v>
      </c>
      <c r="O161" s="278"/>
    </row>
    <row r="162" spans="3:15" ht="15.75" customHeight="1">
      <c r="C162" s="9" t="s">
        <v>237</v>
      </c>
      <c r="H162" s="391">
        <f>IF(VLOOKUP(GAS!N162,'GAS ASCII'!$B$2:$C$200,2)&gt;=500000,VLOOKUP(GAS!N162,'GAS ASCII'!$B$2:$C$200,2)/1000000,IF(VLOOKUP(GAS!N162,'GAS ASCII'!$B$2:$C$200,2)&lt;=0,"……………….","*"))</f>
        <v>36.812</v>
      </c>
      <c r="I162" s="21"/>
      <c r="J162" s="391" t="str">
        <f>IF(VLOOKUP(GAS!N162,'GAS ASCII'!$B$2:$D$200,3)&gt;=500000,VLOOKUP(GAS!N162,'GAS ASCII'!$B$2:$D$200,3)/-1000000,IF(VLOOKUP(GAS!N162,'GAS ASCII'!$B$2:$D$200,3)&lt;=0,"……………….","*"))</f>
        <v>……………….</v>
      </c>
      <c r="K162" s="27"/>
      <c r="L162" s="391">
        <f>IF(VLOOKUP(GAS!N162,'GAS ASCII'!$B$2:$E$200,4)&gt;=500000,VLOOKUP(GAS!N162,'GAS ASCII'!$B$2:$E$200,4)/1000000,IF(VLOOKUP(GAS!N162,'GAS ASCII'!$B$2:$E$200,4)&lt;=0,"……………….","*"))</f>
        <v>36.812</v>
      </c>
      <c r="M162" s="21"/>
      <c r="N162" t="s">
        <v>817</v>
      </c>
      <c r="O162" s="278"/>
    </row>
    <row r="163" spans="3:15" ht="15.75" customHeight="1">
      <c r="C163" s="9" t="s">
        <v>264</v>
      </c>
      <c r="H163" s="391" t="str">
        <f>IF(VLOOKUP(GAS!N163,'GAS ASCII'!$B$2:$C$200,2)&gt;=500000,VLOOKUP(GAS!N163,'GAS ASCII'!$B$2:$C$200,2)/1000000,IF(VLOOKUP(GAS!N163,'GAS ASCII'!$B$2:$C$200,2)&lt;=0,"……………….","*"))</f>
        <v>*</v>
      </c>
      <c r="I163" s="21"/>
      <c r="J163" s="391" t="str">
        <f>IF(VLOOKUP(GAS!N163,'GAS ASCII'!$B$2:$D$200,3)&gt;=500000,VLOOKUP(GAS!N163,'GAS ASCII'!$B$2:$D$200,3)/-1000000,IF(VLOOKUP(GAS!N163,'GAS ASCII'!$B$2:$D$200,3)&lt;=0,"……………….","*"))</f>
        <v>……………….</v>
      </c>
      <c r="K163" s="27"/>
      <c r="L163" s="391" t="str">
        <f>IF(VLOOKUP(GAS!N163,'GAS ASCII'!$B$2:$E$200,4)&gt;=500000,VLOOKUP(GAS!N163,'GAS ASCII'!$B$2:$E$200,4)/1000000,IF(VLOOKUP(GAS!N163,'GAS ASCII'!$B$2:$E$200,4)&lt;=0,"……………….","*"))</f>
        <v>*</v>
      </c>
      <c r="M163" s="21"/>
      <c r="N163" t="s">
        <v>819</v>
      </c>
      <c r="O163" s="278"/>
    </row>
    <row r="164" spans="3:15" ht="15.75" customHeight="1">
      <c r="C164" s="9" t="s">
        <v>394</v>
      </c>
      <c r="H164" s="391">
        <f>IF(VLOOKUP(GAS!N164,'GAS ASCII'!$B$2:$C$200,2)&gt;=500000,VLOOKUP(GAS!N164,'GAS ASCII'!$B$2:$C$200,2)/1000000,IF(VLOOKUP(GAS!N164,'GAS ASCII'!$B$2:$C$200,2)&lt;=0,"……………….","*"))</f>
        <v>8.42581594</v>
      </c>
      <c r="I164" s="21"/>
      <c r="J164" s="391" t="str">
        <f>IF(VLOOKUP(GAS!N164,'GAS ASCII'!$B$2:$D$200,3)&gt;=500000,VLOOKUP(GAS!N164,'GAS ASCII'!$B$2:$D$200,3)/-1000000,IF(VLOOKUP(GAS!N164,'GAS ASCII'!$B$2:$D$200,3)&lt;=0,"……………….","*"))</f>
        <v>……………….</v>
      </c>
      <c r="K164" s="27"/>
      <c r="L164" s="391">
        <f>IF(VLOOKUP(GAS!N164,'GAS ASCII'!$B$2:$E$200,4)&gt;=500000,VLOOKUP(GAS!N164,'GAS ASCII'!$B$2:$E$200,4)/1000000,IF(VLOOKUP(GAS!N164,'GAS ASCII'!$B$2:$E$200,4)&lt;=0,"……………….","*"))</f>
        <v>8.42581594</v>
      </c>
      <c r="M164" s="21"/>
      <c r="N164" t="s">
        <v>821</v>
      </c>
      <c r="O164" s="278"/>
    </row>
    <row r="165" spans="3:15" ht="15.75" customHeight="1">
      <c r="C165" s="9"/>
      <c r="H165" s="391"/>
      <c r="I165" s="21"/>
      <c r="J165" s="391"/>
      <c r="K165" s="27"/>
      <c r="L165" s="391"/>
      <c r="M165" s="21"/>
      <c r="O165" s="278"/>
    </row>
    <row r="166" spans="3:15" ht="15.75" customHeight="1">
      <c r="C166" s="9" t="s">
        <v>166</v>
      </c>
      <c r="H166" s="391">
        <f>IF(VLOOKUP(GAS!N166,'GAS ASCII'!$B$2:$C$200,2)&gt;=500000,VLOOKUP(GAS!N166,'GAS ASCII'!$B$2:$C$200,2)/1000000,IF(VLOOKUP(GAS!N166,'GAS ASCII'!$B$2:$C$200,2)&lt;=0,"……………….","*"))</f>
        <v>14.024853</v>
      </c>
      <c r="I166" s="21"/>
      <c r="J166" s="391" t="str">
        <f>IF(VLOOKUP(GAS!N166,'GAS ASCII'!$B$2:$D$200,3)&gt;=500000,VLOOKUP(GAS!N166,'GAS ASCII'!$B$2:$D$200,3)/-1000000,IF(VLOOKUP(GAS!N166,'GAS ASCII'!$B$2:$D$200,3)&lt;=0,"……………….","*"))</f>
        <v>……………….</v>
      </c>
      <c r="K166" s="27"/>
      <c r="L166" s="391">
        <f>IF(VLOOKUP(GAS!N166,'GAS ASCII'!$B$2:$E$200,4)&gt;=500000,VLOOKUP(GAS!N166,'GAS ASCII'!$B$2:$E$200,4)/1000000,IF(VLOOKUP(GAS!N166,'GAS ASCII'!$B$2:$E$200,4)&lt;=0,"……………….","*"))</f>
        <v>14.024853</v>
      </c>
      <c r="M166" s="21"/>
      <c r="N166" t="s">
        <v>823</v>
      </c>
      <c r="O166" s="278"/>
    </row>
    <row r="167" spans="3:15" ht="15.75" customHeight="1">
      <c r="C167" s="9" t="s">
        <v>240</v>
      </c>
      <c r="H167" s="391"/>
      <c r="I167" s="21"/>
      <c r="J167" s="391"/>
      <c r="K167" s="21"/>
      <c r="L167" s="391"/>
      <c r="M167" s="21"/>
      <c r="O167" s="278"/>
    </row>
    <row r="168" spans="3:15" ht="15.75" customHeight="1">
      <c r="C168" s="9" t="s">
        <v>1171</v>
      </c>
      <c r="H168" s="391">
        <f>IF(VLOOKUP(GAS!N168,'GAS ASCII'!$B$2:$C$200,2)&gt;=500000,VLOOKUP(GAS!N168,'GAS ASCII'!$B$2:$C$200,2)/1000000,IF(VLOOKUP(GAS!N168,'GAS ASCII'!$B$2:$C$200,2)&lt;=0,"……………….","*"))</f>
        <v>26.257</v>
      </c>
      <c r="I168" s="21"/>
      <c r="J168" s="391" t="str">
        <f>IF(VLOOKUP(GAS!N168,'GAS ASCII'!$B$2:$D$200,3)&gt;=500000,VLOOKUP(GAS!N168,'GAS ASCII'!$B$2:$D$200,3)/-1000000,IF(VLOOKUP(GAS!N168,'GAS ASCII'!$B$2:$D$200,3)&lt;=0,"……………….","*"))</f>
        <v>……………….</v>
      </c>
      <c r="K168" s="27"/>
      <c r="L168" s="391">
        <f>IF(VLOOKUP(GAS!N168,'GAS ASCII'!$B$2:$E$200,4)&gt;=500000,VLOOKUP(GAS!N168,'GAS ASCII'!$B$2:$E$200,4)/1000000,IF(VLOOKUP(GAS!N168,'GAS ASCII'!$B$2:$E$200,4)&lt;=0,"……………….","*"))</f>
        <v>26.257</v>
      </c>
      <c r="M168" s="21"/>
      <c r="N168" t="s">
        <v>747</v>
      </c>
      <c r="O168" s="278"/>
    </row>
    <row r="169" spans="8:15" ht="15.75" customHeight="1">
      <c r="H169" s="391"/>
      <c r="I169" s="21"/>
      <c r="J169" s="391"/>
      <c r="K169" s="21"/>
      <c r="L169" s="391"/>
      <c r="M169" s="21"/>
      <c r="O169" s="278"/>
    </row>
    <row r="170" spans="3:15" ht="15.75" customHeight="1">
      <c r="C170" s="9" t="s">
        <v>561</v>
      </c>
      <c r="H170" s="391">
        <f>IF(VLOOKUP(GAS!N170,'GAS ASCII'!$B$2:$C$200,2)&gt;=500000,VLOOKUP(GAS!N170,'GAS ASCII'!$B$2:$C$200,2)/1000000,IF(VLOOKUP(GAS!N170,'GAS ASCII'!$B$2:$C$200,2)&lt;=0,"……………….","*"))</f>
        <v>10.033</v>
      </c>
      <c r="I170" s="21"/>
      <c r="J170" s="391" t="str">
        <f>IF(VLOOKUP(GAS!N170,'GAS ASCII'!$B$2:$D$200,3)&gt;=500000,VLOOKUP(GAS!N170,'GAS ASCII'!$B$2:$D$200,3)/-1000000,IF(VLOOKUP(GAS!N170,'GAS ASCII'!$B$2:$D$200,3)&lt;=0,"……………….","*"))</f>
        <v>……………….</v>
      </c>
      <c r="K170" s="27"/>
      <c r="L170" s="391">
        <f>IF(VLOOKUP(GAS!N170,'GAS ASCII'!$B$2:$E$200,4)&gt;=500000,VLOOKUP(GAS!N170,'GAS ASCII'!$B$2:$E$200,4)/1000000,IF(VLOOKUP(GAS!N170,'GAS ASCII'!$B$2:$E$200,4)&lt;=0,"……………….","*"))</f>
        <v>10.033</v>
      </c>
      <c r="M170" s="21"/>
      <c r="N170" t="s">
        <v>749</v>
      </c>
      <c r="O170" s="278"/>
    </row>
    <row r="171" spans="3:15" ht="15.75" customHeight="1">
      <c r="C171" s="9" t="s">
        <v>59</v>
      </c>
      <c r="H171" s="391">
        <f>IF(VLOOKUP(GAS!N171,'GAS ASCII'!$B$2:$C$200,2)&gt;=500000,VLOOKUP(GAS!N171,'GAS ASCII'!$B$2:$C$200,2)/1000000,IF(VLOOKUP(GAS!N171,'GAS ASCII'!$B$2:$C$200,2)&lt;=0,"……………….","*"))</f>
        <v>5730.518</v>
      </c>
      <c r="I171" s="21"/>
      <c r="J171" s="391" t="str">
        <f>IF(VLOOKUP(GAS!N171,'GAS ASCII'!$B$2:$D$200,3)&gt;=500000,VLOOKUP(GAS!N171,'GAS ASCII'!$B$2:$D$200,3)/-1000000,IF(VLOOKUP(GAS!N171,'GAS ASCII'!$B$2:$D$200,3)&lt;=0,"……………….","*"))</f>
        <v>……………….</v>
      </c>
      <c r="K171" s="27"/>
      <c r="L171" s="391">
        <f>IF(VLOOKUP(GAS!N171,'GAS ASCII'!$B$2:$E$200,4)&gt;=500000,VLOOKUP(GAS!N171,'GAS ASCII'!$B$2:$E$200,4)/1000000,IF(VLOOKUP(GAS!N171,'GAS ASCII'!$B$2:$E$200,4)&lt;=0,"……………….","*"))</f>
        <v>5730.518</v>
      </c>
      <c r="M171" s="21"/>
      <c r="N171" t="s">
        <v>751</v>
      </c>
      <c r="O171" s="278"/>
    </row>
    <row r="172" spans="3:15" ht="15.75" customHeight="1">
      <c r="C172" s="9" t="s">
        <v>974</v>
      </c>
      <c r="H172" s="391">
        <f>IF(VLOOKUP(GAS!N172,'GAS ASCII'!$B$2:$C$200,2)&gt;=500000,VLOOKUP(GAS!N172,'GAS ASCII'!$B$2:$C$200,2)/1000000,IF(VLOOKUP(GAS!N172,'GAS ASCII'!$B$2:$C$200,2)&lt;=0,"……………….","*"))</f>
        <v>681.7789952100001</v>
      </c>
      <c r="I172" s="21"/>
      <c r="J172" s="391" t="str">
        <f>IF(VLOOKUP(GAS!N172,'GAS ASCII'!$B$2:$D$200,3)&gt;=500000,VLOOKUP(GAS!N172,'GAS ASCII'!$B$2:$D$200,3)/-1000000,IF(VLOOKUP(GAS!N172,'GAS ASCII'!$B$2:$D$200,3)&lt;=0,"……………….","*"))</f>
        <v>……………….</v>
      </c>
      <c r="K172" s="27"/>
      <c r="L172" s="391">
        <f>IF(VLOOKUP(GAS!N172,'GAS ASCII'!$B$2:$E$200,4)&gt;=500000,VLOOKUP(GAS!N172,'GAS ASCII'!$B$2:$E$200,4)/1000000,IF(VLOOKUP(GAS!N172,'GAS ASCII'!$B$2:$E$200,4)&lt;=0,"……………….","*"))</f>
        <v>681.7789952100001</v>
      </c>
      <c r="M172" s="21"/>
      <c r="N172" t="s">
        <v>971</v>
      </c>
      <c r="O172" s="278"/>
    </row>
    <row r="173" spans="3:15" ht="15.75" customHeight="1">
      <c r="C173" s="9" t="s">
        <v>856</v>
      </c>
      <c r="H173" s="391">
        <f>IF(VLOOKUP(GAS!N173,'GAS ASCII'!$B$2:$C$200,2)&gt;=500000,VLOOKUP(GAS!N173,'GAS ASCII'!$B$2:$C$200,2)/1000000,IF(VLOOKUP(GAS!N173,'GAS ASCII'!$B$2:$C$200,2)&lt;=0,"……………….","*"))</f>
        <v>6.617</v>
      </c>
      <c r="I173" s="21"/>
      <c r="J173" s="391" t="str">
        <f>IF(VLOOKUP(GAS!N173,'GAS ASCII'!$B$2:$D$200,3)&gt;=500000,VLOOKUP(GAS!N173,'GAS ASCII'!$B$2:$D$200,3)/-1000000,IF(VLOOKUP(GAS!N173,'GAS ASCII'!$B$2:$D$200,3)&lt;=0,"……………….","*"))</f>
        <v>……………….</v>
      </c>
      <c r="K173" s="27"/>
      <c r="L173" s="391">
        <f>IF(VLOOKUP(GAS!N173,'GAS ASCII'!$B$2:$E$200,4)&gt;=500000,VLOOKUP(GAS!N173,'GAS ASCII'!$B$2:$E$200,4)/1000000,IF(VLOOKUP(GAS!N173,'GAS ASCII'!$B$2:$E$200,4)&lt;=0,"……………….","*"))</f>
        <v>6.617</v>
      </c>
      <c r="M173" s="21"/>
      <c r="N173" t="s">
        <v>753</v>
      </c>
      <c r="O173" s="278"/>
    </row>
    <row r="174" spans="3:15" ht="15.75" customHeight="1">
      <c r="C174" s="9" t="s">
        <v>1172</v>
      </c>
      <c r="H174" s="391" t="str">
        <f>IF(VLOOKUP(GAS!N174,'GAS ASCII'!$B$2:$C$200,2)&gt;=500000,VLOOKUP(GAS!N174,'GAS ASCII'!$B$2:$C$200,2)/1000000,IF(VLOOKUP(GAS!N174,'GAS ASCII'!$B$2:$C$200,2)&lt;=0,"……………….","*"))</f>
        <v>*</v>
      </c>
      <c r="I174" s="21"/>
      <c r="J174" s="391" t="str">
        <f>IF(VLOOKUP(GAS!N174,'GAS ASCII'!$B$2:$D$200,3)&gt;=500000,VLOOKUP(GAS!N174,'GAS ASCII'!$B$2:$D$200,3)/-1000000,IF(VLOOKUP(GAS!N174,'GAS ASCII'!$B$2:$D$200,3)&lt;=0,"……………….","*"))</f>
        <v>……………….</v>
      </c>
      <c r="K174" s="27"/>
      <c r="L174" s="391" t="str">
        <f>IF(VLOOKUP(GAS!N174,'GAS ASCII'!$B$2:$E$200,4)&gt;=500000,VLOOKUP(GAS!N174,'GAS ASCII'!$B$2:$E$200,4)/1000000,IF(VLOOKUP(GAS!N174,'GAS ASCII'!$B$2:$E$200,4)&lt;=0,"……………….","*"))</f>
        <v>*</v>
      </c>
      <c r="M174" s="21"/>
      <c r="N174" t="s">
        <v>755</v>
      </c>
      <c r="O174" s="278"/>
    </row>
    <row r="175" spans="3:15" ht="15.75" customHeight="1">
      <c r="C175" s="9" t="s">
        <v>150</v>
      </c>
      <c r="H175" s="391">
        <f>IF(VLOOKUP(GAS!N175,'GAS ASCII'!$B$2:$C$200,2)&gt;=500000,VLOOKUP(GAS!N175,'GAS ASCII'!$B$2:$C$200,2)/1000000,IF(VLOOKUP(GAS!N175,'GAS ASCII'!$B$2:$C$200,2)&lt;=0,"……………….","*"))</f>
        <v>18.457</v>
      </c>
      <c r="I175" s="21"/>
      <c r="J175" s="391" t="str">
        <f>IF(VLOOKUP(GAS!N175,'GAS ASCII'!$B$2:$D$200,3)&gt;=500000,VLOOKUP(GAS!N175,'GAS ASCII'!$B$2:$D$200,3)/-1000000,IF(VLOOKUP(GAS!N175,'GAS ASCII'!$B$2:$D$200,3)&lt;=0,"……………….","*"))</f>
        <v>……………….</v>
      </c>
      <c r="K175" s="27"/>
      <c r="L175" s="391">
        <f>IF(VLOOKUP(GAS!N175,'GAS ASCII'!$B$2:$E$200,4)&gt;=500000,VLOOKUP(GAS!N175,'GAS ASCII'!$B$2:$E$200,4)/1000000,IF(VLOOKUP(GAS!N175,'GAS ASCII'!$B$2:$E$200,4)&lt;=0,"……………….","*"))</f>
        <v>18.457</v>
      </c>
      <c r="M175" s="21"/>
      <c r="N175" t="s">
        <v>757</v>
      </c>
      <c r="O175" s="278"/>
    </row>
    <row r="176" spans="3:15" ht="15.75" customHeight="1">
      <c r="C176" s="9" t="s">
        <v>169</v>
      </c>
      <c r="H176" s="391">
        <f>IF(VLOOKUP(GAS!N176,'GAS ASCII'!$B$2:$C$200,2)&gt;=500000,VLOOKUP(GAS!N176,'GAS ASCII'!$B$2:$C$200,2)/1000000,IF(VLOOKUP(GAS!N176,'GAS ASCII'!$B$2:$C$200,2)&lt;=0,"……………….","*"))</f>
        <v>18.344</v>
      </c>
      <c r="I176" s="21"/>
      <c r="J176" s="391" t="str">
        <f>IF(VLOOKUP(GAS!N176,'GAS ASCII'!$B$2:$D$200,3)&gt;=500000,VLOOKUP(GAS!N176,'GAS ASCII'!$B$2:$D$200,3)/-1000000,IF(VLOOKUP(GAS!N176,'GAS ASCII'!$B$2:$D$200,3)&lt;=0,"……………….","*"))</f>
        <v>*</v>
      </c>
      <c r="K176" s="27"/>
      <c r="L176" s="391">
        <f>IF(VLOOKUP(GAS!N176,'GAS ASCII'!$B$2:$E$200,4)&gt;=500000,VLOOKUP(GAS!N176,'GAS ASCII'!$B$2:$E$200,4)/1000000,IF(VLOOKUP(GAS!N176,'GAS ASCII'!$B$2:$E$200,4)&lt;=0,"……………….","*"))</f>
        <v>17.989</v>
      </c>
      <c r="M176" s="21"/>
      <c r="N176" t="s">
        <v>759</v>
      </c>
      <c r="O176" s="278"/>
    </row>
    <row r="177" spans="3:15" ht="15.75" customHeight="1">
      <c r="C177" s="9" t="s">
        <v>170</v>
      </c>
      <c r="H177" s="391">
        <f>IF(VLOOKUP(GAS!N177,'GAS ASCII'!$B$2:$C$200,2)&gt;=500000,VLOOKUP(GAS!N177,'GAS ASCII'!$B$2:$C$200,2)/1000000,IF(VLOOKUP(GAS!N177,'GAS ASCII'!$B$2:$C$200,2)&lt;=0,"……………….","*"))</f>
        <v>19567.228</v>
      </c>
      <c r="I177" s="21"/>
      <c r="J177" s="391">
        <f>IF(VLOOKUP(GAS!N177,'GAS ASCII'!$B$2:$D$200,3)&gt;=500000,VLOOKUP(GAS!N177,'GAS ASCII'!$B$2:$D$200,3)/-1000000,IF(VLOOKUP(GAS!N177,'GAS ASCII'!$B$2:$D$200,3)&lt;=0,"……………….","*"))</f>
        <v>-8437.605</v>
      </c>
      <c r="K177" s="27"/>
      <c r="L177" s="391">
        <f>IF(VLOOKUP(GAS!N177,'GAS ASCII'!$B$2:$E$200,4)&gt;=500000,VLOOKUP(GAS!N177,'GAS ASCII'!$B$2:$E$200,4)/1000000,IF(VLOOKUP(GAS!N177,'GAS ASCII'!$B$2:$E$200,4)&lt;=0,"……………….","*"))</f>
        <v>11129.623</v>
      </c>
      <c r="M177" s="21"/>
      <c r="N177" t="s">
        <v>761</v>
      </c>
      <c r="O177" s="278"/>
    </row>
    <row r="178" spans="3:15" ht="15.75" customHeight="1">
      <c r="C178" s="9" t="s">
        <v>171</v>
      </c>
      <c r="H178" s="391">
        <f>IF(VLOOKUP(GAS!N178,'GAS ASCII'!$B$2:$C$200,2)&gt;=500000,VLOOKUP(GAS!N178,'GAS ASCII'!$B$2:$C$200,2)/1000000,IF(VLOOKUP(GAS!N178,'GAS ASCII'!$B$2:$C$200,2)&lt;=0,"……………….","*"))</f>
        <v>325.773</v>
      </c>
      <c r="I178" s="21"/>
      <c r="J178" s="391" t="str">
        <f>IF(VLOOKUP(GAS!N178,'GAS ASCII'!$B$2:$D$200,3)&gt;=500000,VLOOKUP(GAS!N178,'GAS ASCII'!$B$2:$D$200,3)/-1000000,IF(VLOOKUP(GAS!N178,'GAS ASCII'!$B$2:$D$200,3)&lt;=0,"……………….","*"))</f>
        <v>……………….</v>
      </c>
      <c r="K178" s="27"/>
      <c r="L178" s="391">
        <f>IF(VLOOKUP(GAS!N178,'GAS ASCII'!$B$2:$E$200,4)&gt;=500000,VLOOKUP(GAS!N178,'GAS ASCII'!$B$2:$E$200,4)/1000000,IF(VLOOKUP(GAS!N178,'GAS ASCII'!$B$2:$E$200,4)&lt;=0,"……………….","*"))</f>
        <v>325.773</v>
      </c>
      <c r="M178" s="21"/>
      <c r="N178" t="s">
        <v>276</v>
      </c>
      <c r="O178" s="278"/>
    </row>
    <row r="179" spans="3:15" ht="15.75" customHeight="1">
      <c r="C179" s="9" t="s">
        <v>525</v>
      </c>
      <c r="H179" s="391">
        <f>IF(VLOOKUP(GAS!N179,'GAS ASCII'!$B$2:$C$200,2)&gt;=500000,VLOOKUP(GAS!N179,'GAS ASCII'!$B$2:$C$200,2)/1000000,IF(VLOOKUP(GAS!N179,'GAS ASCII'!$B$2:$C$200,2)&lt;=0,"……………….","*"))</f>
        <v>52.255</v>
      </c>
      <c r="I179" s="21"/>
      <c r="J179" s="391" t="str">
        <f>IF(VLOOKUP(GAS!N179,'GAS ASCII'!$B$2:$D$200,3)&gt;=500000,VLOOKUP(GAS!N179,'GAS ASCII'!$B$2:$D$200,3)/-1000000,IF(VLOOKUP(GAS!N179,'GAS ASCII'!$B$2:$D$200,3)&lt;=0,"……………….","*"))</f>
        <v>……………….</v>
      </c>
      <c r="K179" s="27"/>
      <c r="L179" s="391">
        <f>IF(VLOOKUP(GAS!N179,'GAS ASCII'!$B$2:$E$200,4)&gt;=500000,VLOOKUP(GAS!N179,'GAS ASCII'!$B$2:$E$200,4)/1000000,IF(VLOOKUP(GAS!N179,'GAS ASCII'!$B$2:$E$200,4)&lt;=0,"……………….","*"))</f>
        <v>52.255</v>
      </c>
      <c r="M179" s="21"/>
      <c r="N179" t="s">
        <v>701</v>
      </c>
      <c r="O179" s="278"/>
    </row>
    <row r="180" spans="3:15" ht="15.75" customHeight="1">
      <c r="C180" s="9" t="s">
        <v>241</v>
      </c>
      <c r="H180" s="391"/>
      <c r="I180" s="21"/>
      <c r="J180" s="391"/>
      <c r="K180" s="21"/>
      <c r="L180" s="391"/>
      <c r="M180" s="21"/>
      <c r="O180" s="278"/>
    </row>
    <row r="181" spans="3:15" ht="15.75" customHeight="1">
      <c r="C181" s="9" t="s">
        <v>526</v>
      </c>
      <c r="H181" s="391">
        <f>IF(VLOOKUP(GAS!N181,'GAS ASCII'!$B$2:$C$200,2)&gt;=500000,VLOOKUP(GAS!N181,'GAS ASCII'!$B$2:$C$200,2)/1000000,IF(VLOOKUP(GAS!N181,'GAS ASCII'!$B$2:$C$200,2)&lt;=0,"……………….","*"))</f>
        <v>162.103</v>
      </c>
      <c r="I181" s="21"/>
      <c r="J181" s="391" t="str">
        <f>IF(VLOOKUP(GAS!N181,'GAS ASCII'!$B$2:$D$200,3)&gt;=500000,VLOOKUP(GAS!N181,'GAS ASCII'!$B$2:$D$200,3)/-1000000,IF(VLOOKUP(GAS!N181,'GAS ASCII'!$B$2:$D$200,3)&lt;=0,"……………….","*"))</f>
        <v>……………….</v>
      </c>
      <c r="K181" s="27"/>
      <c r="L181" s="391">
        <f>IF(VLOOKUP(GAS!N181,'GAS ASCII'!$B$2:$E$200,4)&gt;=500000,VLOOKUP(GAS!N181,'GAS ASCII'!$B$2:$E$200,4)/1000000,IF(VLOOKUP(GAS!N181,'GAS ASCII'!$B$2:$E$200,4)&lt;=0,"……………….","*"))</f>
        <v>162.103</v>
      </c>
      <c r="M181" s="21"/>
      <c r="N181" t="s">
        <v>703</v>
      </c>
      <c r="O181" s="278"/>
    </row>
    <row r="182" spans="3:15" ht="15.75" customHeight="1">
      <c r="C182" s="9" t="s">
        <v>231</v>
      </c>
      <c r="H182" s="391">
        <f>IF(VLOOKUP(GAS!N182,'GAS ASCII'!$B$2:$C$200,2)&gt;=500000,VLOOKUP(GAS!N182,'GAS ASCII'!$B$2:$C$200,2)/1000000,IF(VLOOKUP(GAS!N182,'GAS ASCII'!$B$2:$C$200,2)&lt;=0,"……………….","*"))</f>
        <v>32937.465</v>
      </c>
      <c r="I182" s="21"/>
      <c r="J182" s="391">
        <f>IF(VLOOKUP(GAS!N182,'GAS ASCII'!$B$2:$D$200,3)&gt;=500000,VLOOKUP(GAS!N182,'GAS ASCII'!$B$2:$D$200,3)/-1000000,IF(VLOOKUP(GAS!N182,'GAS ASCII'!$B$2:$D$200,3)&lt;=0,"……………….","*"))</f>
        <v>-3328.661</v>
      </c>
      <c r="K182" s="21"/>
      <c r="L182" s="391">
        <f>IF(VLOOKUP(GAS!N182,'GAS ASCII'!$B$2:$E$200,4)&gt;=500000,VLOOKUP(GAS!N182,'GAS ASCII'!$B$2:$E$200,4)/1000000,IF(VLOOKUP(GAS!N182,'GAS ASCII'!$B$2:$E$200,4)&lt;=0,"……………….","*"))</f>
        <v>29608.804</v>
      </c>
      <c r="M182" s="21"/>
      <c r="N182" t="s">
        <v>705</v>
      </c>
      <c r="O182" s="278"/>
    </row>
    <row r="183" spans="8:15" ht="15.75" customHeight="1">
      <c r="H183" s="391"/>
      <c r="I183" s="21"/>
      <c r="J183" s="391"/>
      <c r="K183" s="21"/>
      <c r="L183" s="391"/>
      <c r="M183" s="21"/>
      <c r="O183" s="278"/>
    </row>
    <row r="184" spans="3:15" ht="15.75" customHeight="1">
      <c r="C184" s="9" t="s">
        <v>1132</v>
      </c>
      <c r="H184" s="391">
        <f>IF(VLOOKUP(GAS!N184,'GAS ASCII'!$B$2:$C$200,2)&gt;=500000,VLOOKUP(GAS!N184,'GAS ASCII'!$B$2:$C$200,2)/1000000,IF(VLOOKUP(GAS!N184,'GAS ASCII'!$B$2:$C$200,2)&lt;=0,"……………….","*"))</f>
        <v>839.195</v>
      </c>
      <c r="I184" s="21"/>
      <c r="J184" s="391">
        <f>IF(VLOOKUP(GAS!N184,'GAS ASCII'!$B$2:$D$200,3)&gt;=500000,VLOOKUP(GAS!N184,'GAS ASCII'!$B$2:$D$200,3)/-1000000,IF(VLOOKUP(GAS!N184,'GAS ASCII'!$B$2:$D$200,3)&lt;=0,"……………….","*"))</f>
        <v>-9.094</v>
      </c>
      <c r="K184" s="3"/>
      <c r="L184" s="391">
        <f>IF(VLOOKUP(GAS!N184,'GAS ASCII'!$B$2:$E$200,4)&gt;=500000,VLOOKUP(GAS!N184,'GAS ASCII'!$B$2:$E$200,4)/1000000,IF(VLOOKUP(GAS!N184,'GAS ASCII'!$B$2:$E$200,4)&lt;=0,"……………….","*"))</f>
        <v>830.101</v>
      </c>
      <c r="M184" s="21"/>
      <c r="N184" t="s">
        <v>706</v>
      </c>
      <c r="O184" s="278"/>
    </row>
    <row r="185" spans="3:15" ht="15.75" customHeight="1">
      <c r="C185" s="9" t="s">
        <v>614</v>
      </c>
      <c r="H185" s="391" t="str">
        <f>IF(VLOOKUP(GAS!N185,'GAS ASCII'!$B$2:$C$200,2)&gt;=500000,VLOOKUP(GAS!N185,'GAS ASCII'!$B$2:$C$200,2)/1000000,IF(VLOOKUP(GAS!N185,'GAS ASCII'!$B$2:$C$200,2)&lt;=0,"……………….","*"))</f>
        <v>*</v>
      </c>
      <c r="I185" s="21"/>
      <c r="J185" s="391" t="str">
        <f>IF(VLOOKUP(GAS!N185,'GAS ASCII'!$B$2:$D$200,3)&gt;=500000,VLOOKUP(GAS!N185,'GAS ASCII'!$B$2:$D$200,3)/-1000000,IF(VLOOKUP(GAS!N185,'GAS ASCII'!$B$2:$D$200,3)&lt;=0,"……………….","*"))</f>
        <v>……………….</v>
      </c>
      <c r="K185" s="27"/>
      <c r="L185" s="391" t="str">
        <f>IF(VLOOKUP(GAS!N185,'GAS ASCII'!$B$2:$E$200,4)&gt;=500000,VLOOKUP(GAS!N185,'GAS ASCII'!$B$2:$E$200,4)/1000000,IF(VLOOKUP(GAS!N185,'GAS ASCII'!$B$2:$E$200,4)&lt;=0,"……………….","*"))</f>
        <v>*</v>
      </c>
      <c r="M185" s="21"/>
      <c r="N185" t="s">
        <v>708</v>
      </c>
      <c r="O185" s="278"/>
    </row>
    <row r="186" spans="3:15" ht="15.75" customHeight="1">
      <c r="C186" s="9" t="s">
        <v>246</v>
      </c>
      <c r="H186" s="391">
        <f>IF(VLOOKUP(GAS!N186,'GAS ASCII'!$B$2:$C$200,2)&gt;=500000,VLOOKUP(GAS!N186,'GAS ASCII'!$B$2:$C$200,2)/1000000,IF(VLOOKUP(GAS!N186,'GAS ASCII'!$B$2:$C$200,2)&lt;=0,"……………….","*"))</f>
        <v>14.373</v>
      </c>
      <c r="I186" s="21"/>
      <c r="J186" s="391">
        <f>IF(VLOOKUP(GAS!N186,'GAS ASCII'!$B$2:$D$200,3)&gt;=500000,VLOOKUP(GAS!N186,'GAS ASCII'!$B$2:$D$200,3)/-1000000,IF(VLOOKUP(GAS!N186,'GAS ASCII'!$B$2:$D$200,3)&lt;=0,"……………….","*"))</f>
        <v>-1.471</v>
      </c>
      <c r="K186" s="27"/>
      <c r="L186" s="391">
        <f>IF(VLOOKUP(GAS!N186,'GAS ASCII'!$B$2:$E$200,4)&gt;=500000,VLOOKUP(GAS!N186,'GAS ASCII'!$B$2:$E$200,4)/1000000,IF(VLOOKUP(GAS!N186,'GAS ASCII'!$B$2:$E$200,4)&lt;=0,"……………….","*"))</f>
        <v>12.902</v>
      </c>
      <c r="M186" s="21"/>
      <c r="N186" t="s">
        <v>291</v>
      </c>
      <c r="O186" s="278"/>
    </row>
    <row r="187" spans="3:15" ht="15.75" customHeight="1">
      <c r="C187" s="9" t="s">
        <v>616</v>
      </c>
      <c r="H187" s="391">
        <f>IF(VLOOKUP(GAS!N187,'GAS ASCII'!$B$2:$C$200,2)&gt;=500000,VLOOKUP(GAS!N187,'GAS ASCII'!$B$2:$C$200,2)/1000000,IF(VLOOKUP(GAS!N187,'GAS ASCII'!$B$2:$C$200,2)&lt;=0,"……………….","*"))</f>
        <v>53.622</v>
      </c>
      <c r="I187" s="21"/>
      <c r="J187" s="391" t="str">
        <f>IF(VLOOKUP(GAS!N187,'GAS ASCII'!$B$2:$D$200,3)&gt;=500000,VLOOKUP(GAS!N187,'GAS ASCII'!$B$2:$D$200,3)/-1000000,IF(VLOOKUP(GAS!N187,'GAS ASCII'!$B$2:$D$200,3)&lt;=0,"……………….","*"))</f>
        <v>……………….</v>
      </c>
      <c r="K187" s="27"/>
      <c r="L187" s="391">
        <f>IF(VLOOKUP(GAS!N187,'GAS ASCII'!$B$2:$E$200,4)&gt;=500000,VLOOKUP(GAS!N187,'GAS ASCII'!$B$2:$E$200,4)/1000000,IF(VLOOKUP(GAS!N187,'GAS ASCII'!$B$2:$E$200,4)&lt;=0,"……………….","*"))</f>
        <v>53.622</v>
      </c>
      <c r="M187" s="21"/>
      <c r="N187" t="s">
        <v>293</v>
      </c>
      <c r="O187" s="278"/>
    </row>
    <row r="188" spans="3:15" ht="15.75" customHeight="1">
      <c r="C188" s="9" t="s">
        <v>527</v>
      </c>
      <c r="H188" s="391">
        <f>IF(VLOOKUP(GAS!N188,'GAS ASCII'!$B$2:$C$200,2)&gt;=500000,VLOOKUP(GAS!N188,'GAS ASCII'!$B$2:$C$200,2)/1000000,IF(VLOOKUP(GAS!N188,'GAS ASCII'!$B$2:$C$200,2)&lt;=0,"……………….","*"))</f>
        <v>30.889</v>
      </c>
      <c r="I188" s="21"/>
      <c r="J188" s="391" t="str">
        <f>IF(VLOOKUP(GAS!N188,'GAS ASCII'!$B$2:$D$200,3)&gt;=500000,VLOOKUP(GAS!N188,'GAS ASCII'!$B$2:$D$200,3)/-1000000,IF(VLOOKUP(GAS!N188,'GAS ASCII'!$B$2:$D$200,3)&lt;=0,"……………….","*"))</f>
        <v>……………….</v>
      </c>
      <c r="K188" s="27"/>
      <c r="L188" s="391">
        <f>IF(VLOOKUP(GAS!N188,'GAS ASCII'!$B$2:$E$200,4)&gt;=500000,VLOOKUP(GAS!N188,'GAS ASCII'!$B$2:$E$200,4)/1000000,IF(VLOOKUP(GAS!N188,'GAS ASCII'!$B$2:$E$200,4)&lt;=0,"……………….","*"))</f>
        <v>30.889</v>
      </c>
      <c r="M188" s="21"/>
      <c r="N188" t="s">
        <v>1028</v>
      </c>
      <c r="O188" s="278"/>
    </row>
    <row r="189" spans="3:15" ht="15.75" customHeight="1">
      <c r="C189" s="9" t="s">
        <v>524</v>
      </c>
      <c r="H189" s="391"/>
      <c r="I189" s="21"/>
      <c r="J189" s="391"/>
      <c r="K189" s="21"/>
      <c r="L189" s="391"/>
      <c r="M189" s="21"/>
      <c r="O189" s="278"/>
    </row>
    <row r="190" spans="3:15" ht="15.75" customHeight="1">
      <c r="C190" s="9" t="s">
        <v>1100</v>
      </c>
      <c r="H190" s="391">
        <f>IF(VLOOKUP(GAS!N190,'GAS ASCII'!$B$2:$C$200,2)&gt;=500000,VLOOKUP(GAS!N190,'GAS ASCII'!$B$2:$C$200,2)/1000000,IF(VLOOKUP(GAS!N190,'GAS ASCII'!$B$2:$C$200,2)&lt;=0,"……………….","*"))</f>
        <v>3758.17</v>
      </c>
      <c r="I190" s="21"/>
      <c r="J190" s="391">
        <f>IF(VLOOKUP(GAS!N190,'GAS ASCII'!$B$2:$D$200,3)&gt;=500000,VLOOKUP(GAS!N190,'GAS ASCII'!$B$2:$D$200,3)/-1000000,IF(VLOOKUP(GAS!N190,'GAS ASCII'!$B$2:$D$200,3)&lt;=0,"……………….","*"))</f>
        <v>-43.977</v>
      </c>
      <c r="K190" s="21"/>
      <c r="L190" s="391">
        <f>IF(VLOOKUP(GAS!N190,'GAS ASCII'!$B$2:$E$200,4)&gt;=500000,VLOOKUP(GAS!N190,'GAS ASCII'!$B$2:$E$200,4)/1000000,IF(VLOOKUP(GAS!N190,'GAS ASCII'!$B$2:$E$200,4)&lt;=0,"……………….","*"))</f>
        <v>3714.193</v>
      </c>
      <c r="M190" s="21"/>
      <c r="N190" t="s">
        <v>1030</v>
      </c>
      <c r="O190" s="278"/>
    </row>
    <row r="191" spans="3:15" ht="15.75" customHeight="1">
      <c r="C191" s="9"/>
      <c r="H191" s="419"/>
      <c r="I191" s="21"/>
      <c r="J191" s="419"/>
      <c r="K191" s="27"/>
      <c r="L191" s="419"/>
      <c r="M191" s="21"/>
      <c r="O191" s="278"/>
    </row>
    <row r="192" spans="1:15" ht="15.75" customHeight="1" thickBot="1">
      <c r="A192" s="99"/>
      <c r="B192" s="99"/>
      <c r="C192" s="101"/>
      <c r="D192" s="99"/>
      <c r="E192" s="99"/>
      <c r="F192" s="99"/>
      <c r="G192" s="99"/>
      <c r="H192" s="398"/>
      <c r="I192" s="102"/>
      <c r="J192" s="398"/>
      <c r="K192" s="103"/>
      <c r="L192" s="398"/>
      <c r="M192" s="102"/>
      <c r="O192" s="278"/>
    </row>
    <row r="193" spans="1:13" ht="16.5" customHeight="1" thickTop="1">
      <c r="A193" s="59"/>
      <c r="B193" s="2" t="str">
        <f>(Marketable!B86)</f>
        <v>TABLE III - DETAIL OF TREASURY SECURITIES OUTSTANDING, JULY 31, 2004 -- Continued</v>
      </c>
      <c r="C193" s="2"/>
      <c r="D193" s="2"/>
      <c r="E193" s="3"/>
      <c r="F193" s="3"/>
      <c r="G193" s="3"/>
      <c r="H193" s="3"/>
      <c r="I193" s="29"/>
      <c r="J193" s="3"/>
      <c r="K193" s="3"/>
      <c r="L193" s="3"/>
      <c r="M193" s="98">
        <v>9</v>
      </c>
    </row>
    <row r="194" spans="1:13" ht="10.5" customHeight="1" thickBot="1">
      <c r="A194" s="59"/>
      <c r="B194" s="59"/>
      <c r="C194" s="7"/>
      <c r="D194" s="2"/>
      <c r="E194" s="3"/>
      <c r="F194" s="3"/>
      <c r="G194" s="3"/>
      <c r="H194" s="3"/>
      <c r="I194" s="29"/>
      <c r="J194" s="3"/>
      <c r="K194" s="3"/>
      <c r="L194" s="3"/>
      <c r="M194" s="58"/>
    </row>
    <row r="195" spans="1:13" ht="15.75" customHeight="1" thickTop="1">
      <c r="A195" s="32"/>
      <c r="B195" s="32"/>
      <c r="C195" s="32"/>
      <c r="D195" s="32"/>
      <c r="E195" s="32"/>
      <c r="F195" s="32"/>
      <c r="G195" s="32"/>
      <c r="H195" s="26"/>
      <c r="I195" s="32"/>
      <c r="J195" s="32"/>
      <c r="K195" s="32"/>
      <c r="L195" s="32"/>
      <c r="M195" s="32"/>
    </row>
    <row r="196" spans="8:13" ht="15.75" customHeight="1">
      <c r="H196" s="16" t="s">
        <v>576</v>
      </c>
      <c r="I196" s="3"/>
      <c r="J196" s="3"/>
      <c r="K196" s="3"/>
      <c r="L196" s="3"/>
      <c r="M196" s="3"/>
    </row>
    <row r="197" spans="1:13" ht="15.75" customHeight="1">
      <c r="A197" s="3" t="s">
        <v>577</v>
      </c>
      <c r="B197" s="3"/>
      <c r="C197" s="3"/>
      <c r="D197" s="3"/>
      <c r="E197" s="3"/>
      <c r="F197" s="3"/>
      <c r="G197" s="3"/>
      <c r="H197" s="16" t="s">
        <v>859</v>
      </c>
      <c r="I197" s="3"/>
      <c r="J197" s="3"/>
      <c r="K197" s="3"/>
      <c r="L197" s="3"/>
      <c r="M197" s="3"/>
    </row>
    <row r="198" spans="1:13" ht="16.5" customHeight="1">
      <c r="A198" s="15"/>
      <c r="B198" s="15"/>
      <c r="C198" s="15"/>
      <c r="D198" s="15"/>
      <c r="E198" s="15"/>
      <c r="F198" s="15"/>
      <c r="G198" s="15"/>
      <c r="H198" s="37" t="s">
        <v>581</v>
      </c>
      <c r="I198" s="38"/>
      <c r="J198" s="37" t="s">
        <v>60</v>
      </c>
      <c r="K198" s="38"/>
      <c r="L198" s="37" t="s">
        <v>862</v>
      </c>
      <c r="M198" s="38"/>
    </row>
    <row r="199" spans="8:12" ht="15.75" customHeight="1">
      <c r="H199" s="14"/>
      <c r="J199" s="14"/>
      <c r="L199" s="14"/>
    </row>
    <row r="200" spans="2:12" ht="18" customHeight="1">
      <c r="B200" s="7" t="s">
        <v>1059</v>
      </c>
      <c r="E200" s="43"/>
      <c r="H200" s="14"/>
      <c r="J200" s="14"/>
      <c r="L200" s="14"/>
    </row>
    <row r="201" spans="2:15" ht="18" customHeight="1">
      <c r="B201" s="77" t="s">
        <v>53</v>
      </c>
      <c r="E201" s="43"/>
      <c r="H201" s="14"/>
      <c r="J201" s="14"/>
      <c r="L201" s="14"/>
      <c r="O201" s="278"/>
    </row>
    <row r="202" spans="3:15" ht="15.75" customHeight="1">
      <c r="C202" s="9" t="s">
        <v>211</v>
      </c>
      <c r="H202" s="391">
        <f>IF(VLOOKUP(GAS!N202,'GAS ASCII'!$B$2:$C$200,2)&gt;=500000,VLOOKUP(GAS!N202,'GAS ASCII'!$B$2:$C$200,2)/1000000,IF(VLOOKUP(GAS!N202,'GAS ASCII'!$B$2:$C$200,2)&lt;=0,"……………….","*"))</f>
        <v>77.113</v>
      </c>
      <c r="I202" s="21"/>
      <c r="J202" s="391" t="str">
        <f>IF(VLOOKUP(GAS!N202,'GAS ASCII'!$B$2:$D$200,3)&gt;=500000,VLOOKUP(GAS!N202,'GAS ASCII'!$B$2:$D$200,3)/-1000000,IF(VLOOKUP(GAS!N202,'GAS ASCII'!$B$2:$D$200,3)&lt;=0,"……………….","*"))</f>
        <v>……………….</v>
      </c>
      <c r="K202" s="27"/>
      <c r="L202" s="391">
        <f>IF(VLOOKUP(GAS!N202,'GAS ASCII'!$B$2:$E$200,4)&gt;=500000,VLOOKUP(GAS!N202,'GAS ASCII'!$B$2:$E$200,4)/1000000,IF(VLOOKUP(GAS!N202,'GAS ASCII'!$B$2:$E$200,4)&lt;=0,"……………….","*"))</f>
        <v>77.113</v>
      </c>
      <c r="M202" s="21"/>
      <c r="N202" t="s">
        <v>1032</v>
      </c>
      <c r="O202" s="278"/>
    </row>
    <row r="203" spans="3:15" ht="15.75" customHeight="1">
      <c r="C203" s="9" t="s">
        <v>103</v>
      </c>
      <c r="H203" s="391">
        <f>IF(VLOOKUP(GAS!N203,'GAS ASCII'!$B$2:$C$200,2)&gt;=500000,VLOOKUP(GAS!N203,'GAS ASCII'!$B$2:$C$200,2)/1000000,IF(VLOOKUP(GAS!N203,'GAS ASCII'!$B$2:$C$200,2)&lt;=0,"……………….","*"))</f>
        <v>1</v>
      </c>
      <c r="I203" s="21"/>
      <c r="J203" s="391" t="str">
        <f>IF(VLOOKUP(GAS!N203,'GAS ASCII'!$B$2:$D$200,3)&gt;=500000,VLOOKUP(GAS!N203,'GAS ASCII'!$B$2:$D$200,3)/-1000000,IF(VLOOKUP(GAS!N203,'GAS ASCII'!$B$2:$D$200,3)&lt;=0,"……………….","*"))</f>
        <v>……………….</v>
      </c>
      <c r="K203" s="27"/>
      <c r="L203" s="391">
        <f>IF(VLOOKUP(GAS!N203,'GAS ASCII'!$B$2:$E$200,4)&gt;=500000,VLOOKUP(GAS!N203,'GAS ASCII'!$B$2:$E$200,4)/1000000,IF(VLOOKUP(GAS!N203,'GAS ASCII'!$B$2:$E$200,4)&lt;=0,"……………….","*"))</f>
        <v>1</v>
      </c>
      <c r="M203" s="21"/>
      <c r="N203" t="s">
        <v>1034</v>
      </c>
      <c r="O203" s="278"/>
    </row>
    <row r="204" spans="3:15" ht="15.75" customHeight="1">
      <c r="C204" s="9" t="s">
        <v>354</v>
      </c>
      <c r="H204" s="391" t="str">
        <f>IF(VLOOKUP(GAS!N204,'GAS ASCII'!$B$2:$C$200,2)&gt;=500000,VLOOKUP(GAS!N204,'GAS ASCII'!$B$2:$C$200,2)/1000000,IF(VLOOKUP(GAS!N204,'GAS ASCII'!$B$2:$C$200,2)&lt;=0,"……………….","*"))</f>
        <v>*</v>
      </c>
      <c r="I204" s="21"/>
      <c r="J204" s="391" t="str">
        <f>IF(VLOOKUP(GAS!N204,'GAS ASCII'!$B$2:$D$200,3)&gt;=500000,VLOOKUP(GAS!N204,'GAS ASCII'!$B$2:$D$200,3)/-1000000,IF(VLOOKUP(GAS!N204,'GAS ASCII'!$B$2:$D$200,3)&lt;=0,"……………….","*"))</f>
        <v>……………….</v>
      </c>
      <c r="K204" s="27"/>
      <c r="L204" s="391" t="str">
        <f>IF(VLOOKUP(GAS!N204,'GAS ASCII'!$B$2:$E$200,4)&gt;=500000,VLOOKUP(GAS!N204,'GAS ASCII'!$B$2:$E$200,4)/1000000,IF(VLOOKUP(GAS!N204,'GAS ASCII'!$B$2:$E$200,4)&lt;=0,"……………….","*"))</f>
        <v>*</v>
      </c>
      <c r="M204" s="21"/>
      <c r="N204" t="s">
        <v>1036</v>
      </c>
      <c r="O204" s="278"/>
    </row>
    <row r="205" spans="3:15" ht="15.75" customHeight="1">
      <c r="C205" s="9" t="s">
        <v>212</v>
      </c>
      <c r="H205" s="391">
        <f>IF(VLOOKUP(GAS!N205,'GAS ASCII'!$B$2:$C$200,2)&gt;=500000,VLOOKUP(GAS!N205,'GAS ASCII'!$B$2:$C$200,2)/1000000,IF(VLOOKUP(GAS!N205,'GAS ASCII'!$B$2:$C$200,2)&lt;=0,"……………….","*"))</f>
        <v>798.907</v>
      </c>
      <c r="I205" s="21"/>
      <c r="J205" s="391" t="str">
        <f>IF(VLOOKUP(GAS!N205,'GAS ASCII'!$B$2:$D$200,3)&gt;=500000,VLOOKUP(GAS!N205,'GAS ASCII'!$B$2:$D$200,3)/-1000000,IF(VLOOKUP(GAS!N205,'GAS ASCII'!$B$2:$D$200,3)&lt;=0,"……………….","*"))</f>
        <v>*</v>
      </c>
      <c r="K205" s="3"/>
      <c r="L205" s="391">
        <f>IF(VLOOKUP(GAS!N205,'GAS ASCII'!$B$2:$E$200,4)&gt;=500000,VLOOKUP(GAS!N205,'GAS ASCII'!$B$2:$E$200,4)/1000000,IF(VLOOKUP(GAS!N205,'GAS ASCII'!$B$2:$E$200,4)&lt;=0,"……………….","*"))</f>
        <v>798.726</v>
      </c>
      <c r="M205" s="21"/>
      <c r="N205" t="s">
        <v>1038</v>
      </c>
      <c r="O205" s="278"/>
    </row>
    <row r="206" spans="3:15" ht="15.75" customHeight="1">
      <c r="C206" s="9" t="s">
        <v>221</v>
      </c>
      <c r="H206" s="391">
        <f>IF(VLOOKUP(GAS!N206,'GAS ASCII'!$B$2:$C$200,2)&gt;=500000,VLOOKUP(GAS!N206,'GAS ASCII'!$B$2:$C$200,2)/1000000,IF(VLOOKUP(GAS!N206,'GAS ASCII'!$B$2:$C$200,2)&lt;=0,"……………….","*"))</f>
        <v>23455.1872887</v>
      </c>
      <c r="I206" s="21"/>
      <c r="J206" s="391">
        <f>IF(VLOOKUP(GAS!N206,'GAS ASCII'!$B$2:$D$200,3)&gt;=500000,VLOOKUP(GAS!N206,'GAS ASCII'!$B$2:$D$200,3)/-1000000,IF(VLOOKUP(GAS!N206,'GAS ASCII'!$B$2:$D$200,3)&lt;=0,"……………….","*"))</f>
        <v>-10560.389</v>
      </c>
      <c r="K206" s="21"/>
      <c r="L206" s="391">
        <f>IF(VLOOKUP(GAS!N206,'GAS ASCII'!$B$2:$E$200,4)&gt;=500000,VLOOKUP(GAS!N206,'GAS ASCII'!$B$2:$E$200,4)/1000000,IF(VLOOKUP(GAS!N206,'GAS ASCII'!$B$2:$E$200,4)&lt;=0,"……………….","*"))</f>
        <v>12894.798288700002</v>
      </c>
      <c r="M206" s="21"/>
      <c r="N206" t="s">
        <v>1040</v>
      </c>
      <c r="O206" s="278"/>
    </row>
    <row r="207" spans="3:15" ht="15.75" customHeight="1">
      <c r="C207" s="9" t="s">
        <v>563</v>
      </c>
      <c r="H207" s="391">
        <f>IF(VLOOKUP(GAS!N207,'GAS ASCII'!$B$2:$C$200,2)&gt;=500000,VLOOKUP(GAS!N207,'GAS ASCII'!$B$2:$C$200,2)/1000000,IF(VLOOKUP(GAS!N207,'GAS ASCII'!$B$2:$C$200,2)&lt;=0,"……………….","*"))</f>
        <v>2.156633</v>
      </c>
      <c r="I207" s="21"/>
      <c r="J207" s="391" t="str">
        <f>IF(VLOOKUP(GAS!N207,'GAS ASCII'!$B$2:$D$200,3)&gt;=500000,VLOOKUP(GAS!N207,'GAS ASCII'!$B$2:$D$200,3)/-1000000,IF(VLOOKUP(GAS!N207,'GAS ASCII'!$B$2:$D$200,3)&lt;=0,"……………….","*"))</f>
        <v>……………….</v>
      </c>
      <c r="K207" s="27"/>
      <c r="L207" s="391">
        <f>IF(VLOOKUP(GAS!N207,'GAS ASCII'!$B$2:$E$200,4)&gt;=500000,VLOOKUP(GAS!N207,'GAS ASCII'!$B$2:$E$200,4)/1000000,IF(VLOOKUP(GAS!N207,'GAS ASCII'!$B$2:$E$200,4)&lt;=0,"……………….","*"))</f>
        <v>2.156633</v>
      </c>
      <c r="M207" s="21"/>
      <c r="N207" t="s">
        <v>1042</v>
      </c>
      <c r="O207" s="278"/>
    </row>
    <row r="208" spans="3:15" ht="15.75" customHeight="1">
      <c r="C208" s="9" t="s">
        <v>1076</v>
      </c>
      <c r="H208" s="391">
        <f>IF(VLOOKUP(GAS!N208,'GAS ASCII'!$B$2:$C$200,2)&gt;=500000,VLOOKUP(GAS!N208,'GAS ASCII'!$B$2:$C$200,2)/1000000,IF(VLOOKUP(GAS!N208,'GAS ASCII'!$B$2:$C$200,2)&lt;=0,"……………….","*"))</f>
        <v>550</v>
      </c>
      <c r="I208" s="21"/>
      <c r="J208" s="391" t="str">
        <f>IF(VLOOKUP(GAS!N208,'GAS ASCII'!$B$2:$D$200,3)&gt;=500000,VLOOKUP(GAS!N208,'GAS ASCII'!$B$2:$D$200,3)/-1000000,IF(VLOOKUP(GAS!N208,'GAS ASCII'!$B$2:$D$200,3)&lt;=0,"……………….","*"))</f>
        <v>……………….</v>
      </c>
      <c r="K208" s="27"/>
      <c r="L208" s="391">
        <f>IF(VLOOKUP(GAS!N208,'GAS ASCII'!$B$2:$E$200,4)&gt;=500000,VLOOKUP(GAS!N208,'GAS ASCII'!$B$2:$E$200,4)/1000000,IF(VLOOKUP(GAS!N208,'GAS ASCII'!$B$2:$E$200,4)&lt;=0,"……………….","*"))</f>
        <v>550</v>
      </c>
      <c r="M208" s="21"/>
      <c r="N208" t="s">
        <v>1044</v>
      </c>
      <c r="O208" s="278"/>
    </row>
    <row r="209" spans="3:15" ht="15.75" customHeight="1">
      <c r="C209" s="9" t="s">
        <v>355</v>
      </c>
      <c r="H209" s="391">
        <f>IF(VLOOKUP(GAS!N209,'GAS ASCII'!$B$2:$C$200,2)&gt;=500000,VLOOKUP(GAS!N209,'GAS ASCII'!$B$2:$C$200,2)/1000000,IF(VLOOKUP(GAS!N209,'GAS ASCII'!$B$2:$C$200,2)&lt;=0,"……………….","*"))</f>
        <v>46.657</v>
      </c>
      <c r="I209" s="21"/>
      <c r="J209" s="391" t="str">
        <f>IF(VLOOKUP(GAS!N209,'GAS ASCII'!$B$2:$D$200,3)&gt;=500000,VLOOKUP(GAS!N209,'GAS ASCII'!$B$2:$D$200,3)/-1000000,IF(VLOOKUP(GAS!N209,'GAS ASCII'!$B$2:$D$200,3)&lt;=0,"……………….","*"))</f>
        <v>……………….</v>
      </c>
      <c r="K209" s="27"/>
      <c r="L209" s="391">
        <f>IF(VLOOKUP(GAS!N209,'GAS ASCII'!$B$2:$E$200,4)&gt;=500000,VLOOKUP(GAS!N209,'GAS ASCII'!$B$2:$E$200,4)/1000000,IF(VLOOKUP(GAS!N209,'GAS ASCII'!$B$2:$E$200,4)&lt;=0,"……………….","*"))</f>
        <v>46.657</v>
      </c>
      <c r="M209" s="21"/>
      <c r="N209" t="s">
        <v>1046</v>
      </c>
      <c r="O209" s="278"/>
    </row>
    <row r="210" spans="3:15" ht="15.75" customHeight="1">
      <c r="C210" s="9" t="s">
        <v>872</v>
      </c>
      <c r="H210" s="391" t="str">
        <f>IF(VLOOKUP(GAS!N210,'GAS ASCII'!$B$2:$C$200,2)&gt;=500000,VLOOKUP(GAS!N210,'GAS ASCII'!$B$2:$C$200,2)/1000000,IF(VLOOKUP(GAS!N210,'GAS ASCII'!$B$2:$C$200,2)&lt;=0,"……………….","*"))</f>
        <v>*</v>
      </c>
      <c r="I210" s="21"/>
      <c r="J210" s="391" t="str">
        <f>IF(VLOOKUP(GAS!N210,'GAS ASCII'!$B$2:$D$200,3)&gt;=500000,VLOOKUP(GAS!N210,'GAS ASCII'!$B$2:$D$200,3)/-1000000,IF(VLOOKUP(GAS!N210,'GAS ASCII'!$B$2:$D$200,3)&lt;=0,"……………….","*"))</f>
        <v>……………….</v>
      </c>
      <c r="K210" s="27"/>
      <c r="L210" s="391" t="str">
        <f>IF(VLOOKUP(GAS!N210,'GAS ASCII'!$B$2:$E$200,4)&gt;=500000,VLOOKUP(GAS!N210,'GAS ASCII'!$B$2:$E$200,4)/1000000,IF(VLOOKUP(GAS!N210,'GAS ASCII'!$B$2:$E$200,4)&lt;=0,"……………….","*"))</f>
        <v>*</v>
      </c>
      <c r="M210" s="21"/>
      <c r="N210" t="s">
        <v>1048</v>
      </c>
      <c r="O210" s="278"/>
    </row>
    <row r="211" spans="3:15" ht="15.75" customHeight="1">
      <c r="C211" s="9" t="s">
        <v>200</v>
      </c>
      <c r="H211" s="391">
        <f>IF(VLOOKUP(GAS!N211,'GAS ASCII'!$B$2:$C$200,2)&gt;=500000,VLOOKUP(GAS!N211,'GAS ASCII'!$B$2:$C$200,2)/1000000,IF(VLOOKUP(GAS!N211,'GAS ASCII'!$B$2:$C$200,2)&lt;=0,"……………….","*"))</f>
        <v>155.5</v>
      </c>
      <c r="I211" s="21"/>
      <c r="J211" s="391" t="str">
        <f>IF(VLOOKUP(GAS!N211,'GAS ASCII'!$B$2:$D$200,3)&gt;=500000,VLOOKUP(GAS!N211,'GAS ASCII'!$B$2:$D$200,3)/-1000000,IF(VLOOKUP(GAS!N211,'GAS ASCII'!$B$2:$D$200,3)&lt;=0,"……………….","*"))</f>
        <v>……………….</v>
      </c>
      <c r="K211" s="27"/>
      <c r="L211" s="391">
        <f>IF(VLOOKUP(GAS!N211,'GAS ASCII'!$B$2:$E$200,4)&gt;=500000,VLOOKUP(GAS!N211,'GAS ASCII'!$B$2:$E$200,4)/1000000,IF(VLOOKUP(GAS!N211,'GAS ASCII'!$B$2:$E$200,4)&lt;=0,"……………….","*"))</f>
        <v>155.5</v>
      </c>
      <c r="M211" s="21"/>
      <c r="N211" t="s">
        <v>1050</v>
      </c>
      <c r="O211" s="278"/>
    </row>
    <row r="212" spans="3:15" ht="15.75" customHeight="1">
      <c r="C212" s="9" t="s">
        <v>1075</v>
      </c>
      <c r="H212" s="391">
        <f>IF(VLOOKUP(GAS!N212,'GAS ASCII'!$B$2:$C$200,2)&gt;=500000,VLOOKUP(GAS!N212,'GAS ASCII'!$B$2:$C$200,2)/1000000,IF(VLOOKUP(GAS!N212,'GAS ASCII'!$B$2:$C$200,2)&lt;=0,"……………….","*"))</f>
        <v>201.8376346</v>
      </c>
      <c r="I212" s="21"/>
      <c r="J212" s="391" t="str">
        <f>IF(VLOOKUP(GAS!N212,'GAS ASCII'!$B$2:$D$200,3)&gt;=500000,VLOOKUP(GAS!N212,'GAS ASCII'!$B$2:$D$200,3)/-1000000,IF(VLOOKUP(GAS!N212,'GAS ASCII'!$B$2:$D$200,3)&lt;=0,"……………….","*"))</f>
        <v>……………….</v>
      </c>
      <c r="K212" s="27"/>
      <c r="L212" s="391">
        <f>IF(VLOOKUP(GAS!N212,'GAS ASCII'!$B$2:$E$200,4)&gt;=500000,VLOOKUP(GAS!N212,'GAS ASCII'!$B$2:$E$200,4)/1000000,IF(VLOOKUP(GAS!N212,'GAS ASCII'!$B$2:$E$200,4)&lt;=0,"……………….","*"))</f>
        <v>201.8376346</v>
      </c>
      <c r="M212" s="21"/>
      <c r="N212" t="s">
        <v>1013</v>
      </c>
      <c r="O212" s="278"/>
    </row>
    <row r="213" spans="3:15" ht="15.75" customHeight="1">
      <c r="C213" s="9" t="s">
        <v>489</v>
      </c>
      <c r="H213" s="391"/>
      <c r="I213" s="21"/>
      <c r="J213" s="391"/>
      <c r="K213" s="27"/>
      <c r="L213" s="391"/>
      <c r="M213" s="21"/>
      <c r="O213" s="278"/>
    </row>
    <row r="214" spans="3:15" ht="15.75" customHeight="1">
      <c r="C214" s="9" t="s">
        <v>826</v>
      </c>
      <c r="H214" s="391">
        <f>IF(VLOOKUP(GAS!N214,'GAS ASCII'!$B$2:$C$200,2)&gt;=500000,VLOOKUP(GAS!N214,'GAS ASCII'!$B$2:$C$200,2)/1000000,IF(VLOOKUP(GAS!N214,'GAS ASCII'!$B$2:$C$200,2)&lt;=0,"……………….","*"))</f>
        <v>2.831</v>
      </c>
      <c r="I214" s="21"/>
      <c r="J214" s="391" t="str">
        <f>IF(VLOOKUP(GAS!N214,'GAS ASCII'!$B$2:$D$200,3)&gt;=500000,VLOOKUP(GAS!N214,'GAS ASCII'!$B$2:$D$200,3)/-1000000,IF(VLOOKUP(GAS!N214,'GAS ASCII'!$B$2:$D$200,3)&lt;=0,"……………….","*"))</f>
        <v>……………….</v>
      </c>
      <c r="K214" s="27"/>
      <c r="L214" s="391">
        <f>IF(VLOOKUP(GAS!N214,'GAS ASCII'!$B$2:$E$200,4)&gt;=500000,VLOOKUP(GAS!N214,'GAS ASCII'!$B$2:$E$200,4)/1000000,IF(VLOOKUP(GAS!N214,'GAS ASCII'!$B$2:$E$200,4)&lt;=0,"……………….","*"))</f>
        <v>2.831</v>
      </c>
      <c r="M214" s="21"/>
      <c r="N214" t="s">
        <v>280</v>
      </c>
      <c r="O214" s="278"/>
    </row>
    <row r="215" spans="3:15" ht="15.75" customHeight="1">
      <c r="C215" s="9"/>
      <c r="H215" s="391"/>
      <c r="I215" s="21"/>
      <c r="J215" s="391"/>
      <c r="K215" s="27"/>
      <c r="L215" s="391"/>
      <c r="M215" s="21"/>
      <c r="O215" s="278"/>
    </row>
    <row r="216" spans="3:15" ht="15.75" customHeight="1">
      <c r="C216" s="9" t="s">
        <v>359</v>
      </c>
      <c r="H216" s="391">
        <f>IF(VLOOKUP(GAS!N216,'GAS ASCII'!$B$2:$C$200,2)&gt;=500000,VLOOKUP(GAS!N216,'GAS ASCII'!$B$2:$C$200,2)/1000000,IF(VLOOKUP(GAS!N216,'GAS ASCII'!$B$2:$C$200,2)&lt;=0,"……………….","*"))</f>
        <v>898.227</v>
      </c>
      <c r="I216" s="21"/>
      <c r="J216" s="391">
        <f>IF(VLOOKUP(GAS!N216,'GAS ASCII'!$B$2:$D$200,3)&gt;=500000,VLOOKUP(GAS!N216,'GAS ASCII'!$B$2:$D$200,3)/-1000000,IF(VLOOKUP(GAS!N216,'GAS ASCII'!$B$2:$D$200,3)&lt;=0,"……………….","*"))</f>
        <v>-312.245</v>
      </c>
      <c r="K216" s="21"/>
      <c r="L216" s="391">
        <f>IF(VLOOKUP(GAS!N216,'GAS ASCII'!$B$2:$E$200,4)&gt;=500000,VLOOKUP(GAS!N216,'GAS ASCII'!$B$2:$E$200,4)/1000000,IF(VLOOKUP(GAS!N216,'GAS ASCII'!$B$2:$E$200,4)&lt;=0,"……………….","*"))</f>
        <v>585.982</v>
      </c>
      <c r="M216" s="21"/>
      <c r="N216" t="s">
        <v>282</v>
      </c>
      <c r="O216" s="278"/>
    </row>
    <row r="217" spans="3:15" ht="15.75" customHeight="1">
      <c r="C217" s="9" t="s">
        <v>490</v>
      </c>
      <c r="H217" s="391"/>
      <c r="I217" s="21"/>
      <c r="J217" s="391"/>
      <c r="K217" s="27"/>
      <c r="L217" s="391"/>
      <c r="M217" s="21"/>
      <c r="O217" s="278"/>
    </row>
    <row r="218" spans="3:15" ht="15.75" customHeight="1">
      <c r="C218" s="9" t="s">
        <v>530</v>
      </c>
      <c r="H218" s="391">
        <f>IF(VLOOKUP(GAS!N218,'GAS ASCII'!$B$2:$C$200,2)&gt;=500000,VLOOKUP(GAS!N218,'GAS ASCII'!$B$2:$C$200,2)/1000000,IF(VLOOKUP(GAS!N218,'GAS ASCII'!$B$2:$C$200,2)&lt;=0,"……………….","*"))</f>
        <v>19.531</v>
      </c>
      <c r="I218" s="21"/>
      <c r="J218" s="391" t="str">
        <f>IF(VLOOKUP(GAS!N218,'GAS ASCII'!$B$2:$D$200,3)&gt;=500000,VLOOKUP(GAS!N218,'GAS ASCII'!$B$2:$D$200,3)/-1000000,IF(VLOOKUP(GAS!N218,'GAS ASCII'!$B$2:$D$200,3)&lt;=0,"……………….","*"))</f>
        <v>……………….</v>
      </c>
      <c r="K218" s="27"/>
      <c r="L218" s="391">
        <f>IF(VLOOKUP(GAS!N218,'GAS ASCII'!$B$2:$E$200,4)&gt;=500000,VLOOKUP(GAS!N218,'GAS ASCII'!$B$2:$E$200,4)/1000000,IF(VLOOKUP(GAS!N218,'GAS ASCII'!$B$2:$E$200,4)&lt;=0,"……………….","*"))</f>
        <v>19.531</v>
      </c>
      <c r="M218" s="21"/>
      <c r="N218" t="s">
        <v>284</v>
      </c>
      <c r="O218" s="278"/>
    </row>
    <row r="219" spans="3:15" ht="15.75" customHeight="1">
      <c r="C219" s="9" t="s">
        <v>491</v>
      </c>
      <c r="H219" s="391"/>
      <c r="I219" s="21"/>
      <c r="J219" s="391"/>
      <c r="K219" s="27"/>
      <c r="L219" s="391"/>
      <c r="M219" s="21"/>
      <c r="O219" s="278"/>
    </row>
    <row r="220" spans="3:15" ht="15.75" customHeight="1">
      <c r="C220" s="9" t="s">
        <v>531</v>
      </c>
      <c r="H220" s="391">
        <f>IF(VLOOKUP(GAS!N220,'GAS ASCII'!$B$2:$C$200,2)&gt;=500000,VLOOKUP(GAS!N220,'GAS ASCII'!$B$2:$C$200,2)/1000000,IF(VLOOKUP(GAS!N220,'GAS ASCII'!$B$2:$C$200,2)&lt;=0,"……………….","*"))</f>
        <v>0.906</v>
      </c>
      <c r="I220" s="21"/>
      <c r="J220" s="391" t="str">
        <f>IF(VLOOKUP(GAS!N220,'GAS ASCII'!$B$2:$D$200,3)&gt;=500000,VLOOKUP(GAS!N220,'GAS ASCII'!$B$2:$D$200,3)/-1000000,IF(VLOOKUP(GAS!N220,'GAS ASCII'!$B$2:$D$200,3)&lt;=0,"……………….","*"))</f>
        <v>……………….</v>
      </c>
      <c r="K220" s="27"/>
      <c r="L220" s="391">
        <f>IF(VLOOKUP(GAS!N220,'GAS ASCII'!$B$2:$E$200,4)&gt;=500000,VLOOKUP(GAS!N220,'GAS ASCII'!$B$2:$E$200,4)/1000000,IF(VLOOKUP(GAS!N220,'GAS ASCII'!$B$2:$E$200,4)&lt;=0,"……………….","*"))</f>
        <v>0.906</v>
      </c>
      <c r="M220" s="21"/>
      <c r="N220" t="s">
        <v>286</v>
      </c>
      <c r="O220" s="278"/>
    </row>
    <row r="221" spans="3:15" ht="15.75" customHeight="1">
      <c r="C221" s="9" t="s">
        <v>975</v>
      </c>
      <c r="H221" s="391">
        <f>IF(VLOOKUP(GAS!N221,'GAS ASCII'!$B$2:$C$200,2)&gt;=500000,VLOOKUP(GAS!N221,'GAS ASCII'!$B$2:$C$200,2)/1000000,IF(VLOOKUP(GAS!N221,'GAS ASCII'!$B$2:$C$200,2)&lt;=0,"……………….","*"))</f>
        <v>8.503</v>
      </c>
      <c r="I221" s="21"/>
      <c r="J221" s="391" t="str">
        <f>IF(VLOOKUP(GAS!N221,'GAS ASCII'!$B$2:$D$200,3)&gt;=500000,VLOOKUP(GAS!N221,'GAS ASCII'!$B$2:$D$200,3)/-1000000,IF(VLOOKUP(GAS!N221,'GAS ASCII'!$B$2:$D$200,3)&lt;=0,"……………….","*"))</f>
        <v>……………….</v>
      </c>
      <c r="K221" s="21"/>
      <c r="L221" s="391">
        <f>IF(VLOOKUP(GAS!N221,'GAS ASCII'!$B$2:$E$200,4)&gt;=500000,VLOOKUP(GAS!N221,'GAS ASCII'!$B$2:$E$200,4)/1000000,IF(VLOOKUP(GAS!N221,'GAS ASCII'!$B$2:$E$200,4)&lt;=0,"……………….","*"))</f>
        <v>8.503</v>
      </c>
      <c r="M221" s="21"/>
      <c r="N221" t="s">
        <v>973</v>
      </c>
      <c r="O221" s="278"/>
    </row>
    <row r="222" spans="3:15" ht="15.75" customHeight="1">
      <c r="C222" s="9" t="s">
        <v>613</v>
      </c>
      <c r="H222" s="391">
        <f>IF(VLOOKUP(GAS!N222,'GAS ASCII'!$B$2:$C$200,2)&gt;=500000,VLOOKUP(GAS!N222,'GAS ASCII'!$B$2:$C$200,2)/1000000,IF(VLOOKUP(GAS!N222,'GAS ASCII'!$B$2:$C$200,2)&lt;=0,"……………….","*"))</f>
        <v>2.589</v>
      </c>
      <c r="I222" s="21"/>
      <c r="J222" s="391" t="str">
        <f>IF(VLOOKUP(GAS!N222,'GAS ASCII'!$B$2:$D$200,3)&gt;=500000,VLOOKUP(GAS!N222,'GAS ASCII'!$B$2:$D$200,3)/-1000000,IF(VLOOKUP(GAS!N222,'GAS ASCII'!$B$2:$D$200,3)&lt;=0,"……………….","*"))</f>
        <v>……………….</v>
      </c>
      <c r="K222" s="27"/>
      <c r="L222" s="391">
        <f>IF(VLOOKUP(GAS!N222,'GAS ASCII'!$B$2:$E$200,4)&gt;=500000,VLOOKUP(GAS!N222,'GAS ASCII'!$B$2:$E$200,4)/1000000,IF(VLOOKUP(GAS!N222,'GAS ASCII'!$B$2:$E$200,4)&lt;=0,"……………….","*"))</f>
        <v>2.589</v>
      </c>
      <c r="M222" s="21"/>
      <c r="N222" t="s">
        <v>612</v>
      </c>
      <c r="O222" s="278"/>
    </row>
    <row r="223" spans="3:15" ht="15.75" customHeight="1">
      <c r="C223" s="9" t="s">
        <v>54</v>
      </c>
      <c r="H223" s="391"/>
      <c r="I223" s="21"/>
      <c r="J223" s="391"/>
      <c r="K223" s="27"/>
      <c r="L223" s="391"/>
      <c r="M223" s="21"/>
      <c r="O223" s="278"/>
    </row>
    <row r="224" spans="3:15" ht="15.75" customHeight="1">
      <c r="C224" s="9" t="s">
        <v>511</v>
      </c>
      <c r="H224" s="391">
        <f>IF(VLOOKUP(GAS!N224,'GAS ASCII'!$B$2:$C$200,2)&gt;=500000,VLOOKUP(GAS!N224,'GAS ASCII'!$B$2:$C$200,2)/1000000,IF(VLOOKUP(GAS!N224,'GAS ASCII'!$B$2:$C$200,2)&lt;=0,"……………….","*"))</f>
        <v>2.087</v>
      </c>
      <c r="I224" s="21"/>
      <c r="J224" s="391" t="str">
        <f>IF(VLOOKUP(GAS!N224,'GAS ASCII'!$B$2:$D$200,3)&gt;=500000,VLOOKUP(GAS!N224,'GAS ASCII'!$B$2:$D$200,3)/-1000000,IF(VLOOKUP(GAS!N224,'GAS ASCII'!$B$2:$D$200,3)&lt;=0,"……………….","*"))</f>
        <v>……………….</v>
      </c>
      <c r="K224" s="27"/>
      <c r="L224" s="391">
        <f>IF(VLOOKUP(GAS!N224,'GAS ASCII'!$B$2:$E$200,4)&gt;=500000,VLOOKUP(GAS!N224,'GAS ASCII'!$B$2:$E$200,4)/1000000,IF(VLOOKUP(GAS!N224,'GAS ASCII'!$B$2:$E$200,4)&lt;=0,"……………….","*"))</f>
        <v>2.087</v>
      </c>
      <c r="M224" s="21"/>
      <c r="N224" t="s">
        <v>288</v>
      </c>
      <c r="O224" s="278"/>
    </row>
    <row r="225" spans="3:15" ht="15.75" customHeight="1">
      <c r="C225" s="9" t="s">
        <v>351</v>
      </c>
      <c r="H225" s="391">
        <f>IF(VLOOKUP(GAS!N225,'GAS ASCII'!$B$2:$C$200,2)&gt;=500000,VLOOKUP(GAS!N225,'GAS ASCII'!$B$2:$C$200,2)/1000000,IF(VLOOKUP(GAS!N225,'GAS ASCII'!$B$2:$C$200,2)&lt;=0,"……………….","*"))</f>
        <v>24.792</v>
      </c>
      <c r="I225" s="21"/>
      <c r="J225" s="391" t="str">
        <f>IF(VLOOKUP(GAS!N225,'GAS ASCII'!$B$2:$D$200,3)&gt;=500000,VLOOKUP(GAS!N225,'GAS ASCII'!$B$2:$D$200,3)/-1000000,IF(VLOOKUP(GAS!N225,'GAS ASCII'!$B$2:$D$200,3)&lt;=0,"……………….","*"))</f>
        <v>……………….</v>
      </c>
      <c r="K225" s="27"/>
      <c r="L225" s="391">
        <f>IF(VLOOKUP(GAS!N225,'GAS ASCII'!$B$2:$E$200,4)&gt;=500000,VLOOKUP(GAS!N225,'GAS ASCII'!$B$2:$E$200,4)/1000000,IF(VLOOKUP(GAS!N225,'GAS ASCII'!$B$2:$E$200,4)&lt;=0,"……………….","*"))</f>
        <v>24.792</v>
      </c>
      <c r="M225" s="21"/>
      <c r="N225" t="s">
        <v>290</v>
      </c>
      <c r="O225" s="278"/>
    </row>
    <row r="226" spans="3:15" ht="15.75" customHeight="1">
      <c r="C226" s="9"/>
      <c r="H226" s="391"/>
      <c r="I226" s="21"/>
      <c r="J226" s="391"/>
      <c r="K226" s="27"/>
      <c r="L226" s="391"/>
      <c r="M226" s="21"/>
      <c r="O226" s="278"/>
    </row>
    <row r="227" spans="3:15" ht="15.75" customHeight="1">
      <c r="C227" s="9" t="s">
        <v>987</v>
      </c>
      <c r="H227" s="391">
        <f>IF(VLOOKUP(GAS!N227,'GAS ASCII'!$B$2:$C$200,2)&gt;=500000,VLOOKUP(GAS!N227,'GAS ASCII'!$B$2:$C$200,2)/1000000,IF(VLOOKUP(GAS!N227,'GAS ASCII'!$B$2:$C$200,2)&lt;=0,"……………….","*"))</f>
        <v>12455.09105</v>
      </c>
      <c r="I227" s="21"/>
      <c r="J227" s="391">
        <f>IF(VLOOKUP(GAS!N227,'GAS ASCII'!$B$2:$D$200,3)&gt;=500000,VLOOKUP(GAS!N227,'GAS ASCII'!$B$2:$D$200,3)/-1000000,IF(VLOOKUP(GAS!N227,'GAS ASCII'!$B$2:$D$200,3)&lt;=0,"……………….","*"))</f>
        <v>-660</v>
      </c>
      <c r="K227" s="27"/>
      <c r="L227" s="391">
        <f>IF(VLOOKUP(GAS!N227,'GAS ASCII'!$B$2:$E$200,4)&gt;=500000,VLOOKUP(GAS!N227,'GAS ASCII'!$B$2:$E$200,4)/1000000,IF(VLOOKUP(GAS!N227,'GAS ASCII'!$B$2:$E$200,4)&lt;=0,"……………….","*"))</f>
        <v>11795.09105</v>
      </c>
      <c r="M227" s="21"/>
      <c r="N227" t="s">
        <v>1010</v>
      </c>
      <c r="O227" s="278"/>
    </row>
    <row r="228" spans="3:15" ht="15.75" customHeight="1">
      <c r="C228" s="9" t="s">
        <v>988</v>
      </c>
      <c r="H228" s="391"/>
      <c r="I228" s="21"/>
      <c r="J228" s="391"/>
      <c r="K228" s="21"/>
      <c r="L228" s="391"/>
      <c r="M228" s="21"/>
      <c r="O228" s="278"/>
    </row>
    <row r="229" spans="3:15" ht="15.75" customHeight="1">
      <c r="C229" s="9" t="s">
        <v>1014</v>
      </c>
      <c r="H229" s="391">
        <f>IF(VLOOKUP(GAS!N229,'GAS ASCII'!$B$2:$C$200,2)&gt;=500000,VLOOKUP(GAS!N229,'GAS ASCII'!$B$2:$C$200,2)/1000000,IF(VLOOKUP(GAS!N229,'GAS ASCII'!$B$2:$C$200,2)&lt;=0,"……………….","*"))</f>
        <v>13.195</v>
      </c>
      <c r="I229" s="21"/>
      <c r="J229" s="391" t="str">
        <f>IF(VLOOKUP(GAS!N229,'GAS ASCII'!$B$2:$D$200,3)&gt;=500000,VLOOKUP(GAS!N229,'GAS ASCII'!$B$2:$D$200,3)/-1000000,IF(VLOOKUP(GAS!N229,'GAS ASCII'!$B$2:$D$200,3)&lt;=0,"……………….","*"))</f>
        <v>……………….</v>
      </c>
      <c r="K229" s="27"/>
      <c r="L229" s="391">
        <f>IF(VLOOKUP(GAS!N229,'GAS ASCII'!$B$2:$E$200,4)&gt;=500000,VLOOKUP(GAS!N229,'GAS ASCII'!$B$2:$E$200,4)/1000000,IF(VLOOKUP(GAS!N229,'GAS ASCII'!$B$2:$E$200,4)&lt;=0,"……………….","*"))</f>
        <v>13.195</v>
      </c>
      <c r="M229" s="21"/>
      <c r="N229" t="s">
        <v>375</v>
      </c>
      <c r="O229" s="278"/>
    </row>
    <row r="230" spans="3:15" ht="15.75" customHeight="1">
      <c r="C230" s="9" t="s">
        <v>414</v>
      </c>
      <c r="H230" s="391">
        <f>IF(VLOOKUP(GAS!N230,'GAS ASCII'!$B$2:$C$200,2)&gt;=500000,VLOOKUP(GAS!N230,'GAS ASCII'!$B$2:$C$200,2)/1000000,IF(VLOOKUP(GAS!N230,'GAS ASCII'!$B$2:$C$200,2)&lt;=0,"……………….","*"))</f>
        <v>350.556</v>
      </c>
      <c r="I230" s="21"/>
      <c r="J230" s="391" t="str">
        <f>IF(VLOOKUP(GAS!N230,'GAS ASCII'!$B$2:$D$200,3)&gt;=500000,VLOOKUP(GAS!N230,'GAS ASCII'!$B$2:$D$200,3)/-1000000,IF(VLOOKUP(GAS!N230,'GAS ASCII'!$B$2:$D$200,3)&lt;=0,"……………….","*"))</f>
        <v>……………….</v>
      </c>
      <c r="K230" s="27"/>
      <c r="L230" s="391">
        <f>IF(VLOOKUP(GAS!N230,'GAS ASCII'!$B$2:$E$200,4)&gt;=500000,VLOOKUP(GAS!N230,'GAS ASCII'!$B$2:$E$200,4)/1000000,IF(VLOOKUP(GAS!N230,'GAS ASCII'!$B$2:$E$200,4)&lt;=0,"……………….","*"))</f>
        <v>350.556</v>
      </c>
      <c r="M230" s="21"/>
      <c r="N230" t="s">
        <v>377</v>
      </c>
      <c r="O230" s="278"/>
    </row>
    <row r="231" spans="3:15" ht="15.75" customHeight="1">
      <c r="C231" s="9" t="s">
        <v>116</v>
      </c>
      <c r="H231" s="391">
        <f>IF(VLOOKUP(GAS!N231,'GAS ASCII'!$B$2:$C$200,2)&gt;=500000,VLOOKUP(GAS!N231,'GAS ASCII'!$B$2:$C$200,2)/1000000,IF(VLOOKUP(GAS!N231,'GAS ASCII'!$B$2:$C$200,2)&lt;=0,"……………….","*"))</f>
        <v>0.505</v>
      </c>
      <c r="I231" s="21"/>
      <c r="J231" s="391" t="str">
        <f>IF(VLOOKUP(GAS!N231,'GAS ASCII'!$B$2:$D$200,3)&gt;=500000,VLOOKUP(GAS!N231,'GAS ASCII'!$B$2:$D$200,3)/-1000000,IF(VLOOKUP(GAS!N231,'GAS ASCII'!$B$2:$D$200,3)&lt;=0,"……………….","*"))</f>
        <v>……………….</v>
      </c>
      <c r="K231" s="27"/>
      <c r="L231" s="391">
        <f>IF(VLOOKUP(GAS!N231,'GAS ASCII'!$B$2:$E$200,4)&gt;=500000,VLOOKUP(GAS!N231,'GAS ASCII'!$B$2:$E$200,4)/1000000,IF(VLOOKUP(GAS!N231,'GAS ASCII'!$B$2:$E$200,4)&lt;=0,"……………….","*"))</f>
        <v>0.505</v>
      </c>
      <c r="M231" s="21"/>
      <c r="N231" t="s">
        <v>378</v>
      </c>
      <c r="O231" s="278"/>
    </row>
    <row r="232" spans="3:15" ht="15.75" customHeight="1">
      <c r="C232" s="9" t="s">
        <v>1174</v>
      </c>
      <c r="H232" s="391" t="str">
        <f>IF(VLOOKUP(GAS!N232,'GAS ASCII'!$B$2:$C$200,2)&gt;=500000,VLOOKUP(GAS!N232,'GAS ASCII'!$B$2:$C$200,2)/1000000,IF(VLOOKUP(GAS!N232,'GAS ASCII'!$B$2:$C$200,2)&lt;=0,"……………….","*"))</f>
        <v>*</v>
      </c>
      <c r="I232" s="21"/>
      <c r="J232" s="391" t="str">
        <f>IF(VLOOKUP(GAS!N232,'GAS ASCII'!$B$2:$D$200,3)&gt;=500000,VLOOKUP(GAS!N232,'GAS ASCII'!$B$2:$D$200,3)/-1000000,IF(VLOOKUP(GAS!N232,'GAS ASCII'!$B$2:$D$200,3)&lt;=0,"……………….","*"))</f>
        <v>……………….</v>
      </c>
      <c r="K232" s="21"/>
      <c r="L232" s="391" t="str">
        <f>IF(VLOOKUP(GAS!N232,'GAS ASCII'!$B$2:$E$200,4)&gt;=500000,VLOOKUP(GAS!N232,'GAS ASCII'!$B$2:$E$200,4)/1000000,IF(VLOOKUP(GAS!N232,'GAS ASCII'!$B$2:$E$200,4)&lt;=0,"……………….","*"))</f>
        <v>*</v>
      </c>
      <c r="M232" s="21"/>
      <c r="N232" t="s">
        <v>380</v>
      </c>
      <c r="O232" s="278"/>
    </row>
    <row r="233" spans="3:15" ht="15.75" customHeight="1">
      <c r="C233" s="9" t="s">
        <v>173</v>
      </c>
      <c r="H233" s="391">
        <f>IF(VLOOKUP(GAS!N233,'GAS ASCII'!$B$2:$C$200,2)&gt;=500000,VLOOKUP(GAS!N233,'GAS ASCII'!$B$2:$C$200,2)/1000000,IF(VLOOKUP(GAS!N233,'GAS ASCII'!$B$2:$C$200,2)&lt;=0,"……………….","*"))</f>
        <v>1323.017</v>
      </c>
      <c r="I233" s="21"/>
      <c r="J233" s="391">
        <f>IF(VLOOKUP(GAS!N233,'GAS ASCII'!$B$2:$D$200,3)&gt;=500000,VLOOKUP(GAS!N233,'GAS ASCII'!$B$2:$D$200,3)/-1000000,IF(VLOOKUP(GAS!N233,'GAS ASCII'!$B$2:$D$200,3)&lt;=0,"……………….","*"))</f>
        <v>-445.497</v>
      </c>
      <c r="K233" s="21"/>
      <c r="L233" s="391">
        <f>IF(VLOOKUP(GAS!N233,'GAS ASCII'!$B$2:$E$200,4)&gt;=500000,VLOOKUP(GAS!N233,'GAS ASCII'!$B$2:$E$200,4)/1000000,IF(VLOOKUP(GAS!N233,'GAS ASCII'!$B$2:$E$200,4)&lt;=0,"……………….","*"))</f>
        <v>877.52</v>
      </c>
      <c r="M233" s="21"/>
      <c r="N233" t="s">
        <v>382</v>
      </c>
      <c r="O233" s="278"/>
    </row>
    <row r="234" spans="3:15" ht="15.75" customHeight="1">
      <c r="C234" s="9" t="s">
        <v>1015</v>
      </c>
      <c r="H234" s="391">
        <f>IF(VLOOKUP(GAS!N234,'GAS ASCII'!$B$2:$C$200,2)&gt;=500000,VLOOKUP(GAS!N234,'GAS ASCII'!$B$2:$C$200,2)/1000000,IF(VLOOKUP(GAS!N234,'GAS ASCII'!$B$2:$C$200,2)&lt;=0,"……………….","*"))</f>
        <v>63.62802222</v>
      </c>
      <c r="I234" s="21"/>
      <c r="J234" s="391" t="str">
        <f>IF(VLOOKUP(GAS!N234,'GAS ASCII'!$B$2:$D$200,3)&gt;=500000,VLOOKUP(GAS!N234,'GAS ASCII'!$B$2:$D$200,3)/-1000000,IF(VLOOKUP(GAS!N234,'GAS ASCII'!$B$2:$D$200,3)&lt;=0,"……………….","*"))</f>
        <v>……………….</v>
      </c>
      <c r="K234" s="27"/>
      <c r="L234" s="391">
        <f>IF(VLOOKUP(GAS!N234,'GAS ASCII'!$B$2:$E$200,4)&gt;=500000,VLOOKUP(GAS!N234,'GAS ASCII'!$B$2:$E$200,4)/1000000,IF(VLOOKUP(GAS!N234,'GAS ASCII'!$B$2:$E$200,4)&lt;=0,"……………….","*"))</f>
        <v>63.62802222</v>
      </c>
      <c r="M234" s="21"/>
      <c r="N234" t="s">
        <v>384</v>
      </c>
      <c r="O234" s="278"/>
    </row>
    <row r="235" spans="3:15" ht="15.75" customHeight="1">
      <c r="C235" s="9" t="s">
        <v>1016</v>
      </c>
      <c r="H235" s="391">
        <f>IF(VLOOKUP(GAS!N235,'GAS ASCII'!$B$2:$C$200,2)&gt;=500000,VLOOKUP(GAS!N235,'GAS ASCII'!$B$2:$C$200,2)/1000000,IF(VLOOKUP(GAS!N235,'GAS ASCII'!$B$2:$C$200,2)&lt;=0,"……………….","*"))</f>
        <v>801.372</v>
      </c>
      <c r="I235" s="21"/>
      <c r="J235" s="391" t="str">
        <f>IF(VLOOKUP(GAS!N235,'GAS ASCII'!$B$2:$D$200,3)&gt;=500000,VLOOKUP(GAS!N235,'GAS ASCII'!$B$2:$D$200,3)/-1000000,IF(VLOOKUP(GAS!N235,'GAS ASCII'!$B$2:$D$200,3)&lt;=0,"……………….","*"))</f>
        <v>……………….</v>
      </c>
      <c r="K235" s="27"/>
      <c r="L235" s="391">
        <f>IF(VLOOKUP(GAS!N235,'GAS ASCII'!$B$2:$E$200,4)&gt;=500000,VLOOKUP(GAS!N235,'GAS ASCII'!$B$2:$E$200,4)/1000000,IF(VLOOKUP(GAS!N235,'GAS ASCII'!$B$2:$E$200,4)&lt;=0,"……………….","*"))</f>
        <v>801.372</v>
      </c>
      <c r="M235" s="21"/>
      <c r="N235" t="s">
        <v>1091</v>
      </c>
      <c r="O235" s="278"/>
    </row>
    <row r="236" spans="3:15" ht="15.75" customHeight="1">
      <c r="C236" s="9"/>
      <c r="H236" s="391"/>
      <c r="I236" s="21"/>
      <c r="J236" s="391"/>
      <c r="K236" s="27"/>
      <c r="L236" s="391"/>
      <c r="M236" s="21"/>
      <c r="O236" s="278"/>
    </row>
    <row r="237" spans="3:15" ht="15.75" customHeight="1">
      <c r="C237" s="9" t="s">
        <v>494</v>
      </c>
      <c r="H237" s="391">
        <f>IF(VLOOKUP(GAS!N237,'GAS ASCII'!$B$2:$C$200,2)&gt;=500000,VLOOKUP(GAS!N237,'GAS ASCII'!$B$2:$C$200,2)/1000000,IF(VLOOKUP(GAS!N237,'GAS ASCII'!$B$2:$C$200,2)&lt;=0,"……………….","*"))</f>
        <v>7.776</v>
      </c>
      <c r="I237" s="21"/>
      <c r="J237" s="391" t="str">
        <f>IF(VLOOKUP(GAS!N237,'GAS ASCII'!$B$2:$D$200,3)&gt;=500000,VLOOKUP(GAS!N237,'GAS ASCII'!$B$2:$D$200,3)/-1000000,IF(VLOOKUP(GAS!N237,'GAS ASCII'!$B$2:$D$200,3)&lt;=0,"……………….","*"))</f>
        <v>……………….</v>
      </c>
      <c r="K237" s="27"/>
      <c r="L237" s="391">
        <f>IF(VLOOKUP(GAS!N237,'GAS ASCII'!$B$2:$E$200,4)&gt;=500000,VLOOKUP(GAS!N237,'GAS ASCII'!$B$2:$E$200,4)/1000000,IF(VLOOKUP(GAS!N237,'GAS ASCII'!$B$2:$E$200,4)&lt;=0,"……………….","*"))</f>
        <v>7.776</v>
      </c>
      <c r="M237" s="21"/>
      <c r="N237" t="s">
        <v>1093</v>
      </c>
      <c r="O237" s="278"/>
    </row>
    <row r="238" spans="3:15" ht="15.75" customHeight="1">
      <c r="C238" s="9" t="s">
        <v>507</v>
      </c>
      <c r="H238" s="391">
        <f>IF(VLOOKUP(GAS!N238,'GAS ASCII'!$B$2:$C$200,2)&gt;=500000,VLOOKUP(GAS!N238,'GAS ASCII'!$B$2:$C$200,2)/1000000,IF(VLOOKUP(GAS!N238,'GAS ASCII'!$B$2:$C$200,2)&lt;=0,"……………….","*"))</f>
        <v>140.621</v>
      </c>
      <c r="I238" s="21"/>
      <c r="J238" s="391" t="str">
        <f>IF(VLOOKUP(GAS!N238,'GAS ASCII'!$B$2:$D$200,3)&gt;=500000,VLOOKUP(GAS!N238,'GAS ASCII'!$B$2:$D$200,3)/-1000000,IF(VLOOKUP(GAS!N238,'GAS ASCII'!$B$2:$D$200,3)&lt;=0,"……………….","*"))</f>
        <v>……………….</v>
      </c>
      <c r="K238" s="27"/>
      <c r="L238" s="391">
        <f>IF(VLOOKUP(GAS!N238,'GAS ASCII'!$B$2:$E$200,4)&gt;=500000,VLOOKUP(GAS!N238,'GAS ASCII'!$B$2:$E$200,4)/1000000,IF(VLOOKUP(GAS!N238,'GAS ASCII'!$B$2:$E$200,4)&lt;=0,"……………….","*"))</f>
        <v>140.621</v>
      </c>
      <c r="M238" s="21"/>
      <c r="N238" t="s">
        <v>1095</v>
      </c>
      <c r="O238" s="278"/>
    </row>
    <row r="239" spans="3:15" ht="15.75" customHeight="1">
      <c r="C239" s="9" t="s">
        <v>22</v>
      </c>
      <c r="H239" s="391">
        <f>IF(VLOOKUP(GAS!N239,'GAS ASCII'!$B$2:$C$200,2)&gt;=500000,VLOOKUP(GAS!N239,'GAS ASCII'!$B$2:$C$200,2)/1000000,IF(VLOOKUP(GAS!N239,'GAS ASCII'!$B$2:$C$200,2)&lt;=0,"……………….","*"))</f>
        <v>26.60488346</v>
      </c>
      <c r="I239" s="21"/>
      <c r="J239" s="391" t="str">
        <f>IF(VLOOKUP(GAS!N239,'GAS ASCII'!$B$2:$D$200,3)&gt;=500000,VLOOKUP(GAS!N239,'GAS ASCII'!$B$2:$D$200,3)/-1000000,IF(VLOOKUP(GAS!N239,'GAS ASCII'!$B$2:$D$200,3)&lt;=0,"……………….","*"))</f>
        <v>……………….</v>
      </c>
      <c r="K239" s="27"/>
      <c r="L239" s="391">
        <f>IF(VLOOKUP(GAS!N239,'GAS ASCII'!$B$2:$E$200,4)&gt;=500000,VLOOKUP(GAS!N239,'GAS ASCII'!$B$2:$E$200,4)/1000000,IF(VLOOKUP(GAS!N239,'GAS ASCII'!$B$2:$E$200,4)&lt;=0,"……………….","*"))</f>
        <v>26.60488346</v>
      </c>
      <c r="M239" s="21"/>
      <c r="N239" t="s">
        <v>1097</v>
      </c>
      <c r="O239" s="278"/>
    </row>
    <row r="240" spans="3:15" ht="15.75" customHeight="1">
      <c r="C240" s="9" t="s">
        <v>996</v>
      </c>
      <c r="H240" s="391">
        <f>IF(VLOOKUP(GAS!N240,'GAS ASCII'!$B$2:$C$200,2)&gt;=500000,VLOOKUP(GAS!N240,'GAS ASCII'!$B$2:$C$200,2)/1000000,IF(VLOOKUP(GAS!N240,'GAS ASCII'!$B$2:$C$200,2)&lt;=0,"……………….","*"))</f>
        <v>7.83386409</v>
      </c>
      <c r="I240" s="21"/>
      <c r="J240" s="391" t="str">
        <f>IF(VLOOKUP(GAS!N240,'GAS ASCII'!$B$2:$D$200,3)&gt;=500000,VLOOKUP(GAS!N240,'GAS ASCII'!$B$2:$D$200,3)/-1000000,IF(VLOOKUP(GAS!N240,'GAS ASCII'!$B$2:$D$200,3)&lt;=0,"……………….","*"))</f>
        <v>……………….</v>
      </c>
      <c r="K240" s="27"/>
      <c r="L240" s="391">
        <f>IF(VLOOKUP(GAS!N240,'GAS ASCII'!$B$2:$E$200,4)&gt;=500000,VLOOKUP(GAS!N240,'GAS ASCII'!$B$2:$E$200,4)/1000000,IF(VLOOKUP(GAS!N240,'GAS ASCII'!$B$2:$E$200,4)&lt;=0,"……………….","*"))</f>
        <v>7.83386409</v>
      </c>
      <c r="M240" s="21"/>
      <c r="N240" t="s">
        <v>1099</v>
      </c>
      <c r="O240" s="278"/>
    </row>
    <row r="241" spans="3:15" ht="15.75" customHeight="1">
      <c r="C241" s="9" t="s">
        <v>434</v>
      </c>
      <c r="H241" s="391">
        <f>IF(VLOOKUP(GAS!N241,'GAS ASCII'!$B$2:$C$200,2)&gt;=500000,VLOOKUP(GAS!N241,'GAS ASCII'!$B$2:$C$200,2)/1000000,IF(VLOOKUP(GAS!N241,'GAS ASCII'!$B$2:$C$200,2)&lt;=0,"……………….","*"))</f>
        <v>61.178</v>
      </c>
      <c r="I241" s="21"/>
      <c r="J241" s="391" t="str">
        <f>IF(VLOOKUP(GAS!N241,'GAS ASCII'!$B$2:$D$200,3)&gt;=500000,VLOOKUP(GAS!N241,'GAS ASCII'!$B$2:$D$200,3)/-1000000,IF(VLOOKUP(GAS!N241,'GAS ASCII'!$B$2:$D$200,3)&lt;=0,"……………….","*"))</f>
        <v>*</v>
      </c>
      <c r="K241" s="27"/>
      <c r="L241" s="391">
        <f>IF(VLOOKUP(GAS!N241,'GAS ASCII'!$B$2:$E$200,4)&gt;=500000,VLOOKUP(GAS!N241,'GAS ASCII'!$B$2:$E$200,4)/1000000,IF(VLOOKUP(GAS!N241,'GAS ASCII'!$B$2:$E$200,4)&lt;=0,"……………….","*"))</f>
        <v>61.162</v>
      </c>
      <c r="M241" s="21"/>
      <c r="N241" t="s">
        <v>1063</v>
      </c>
      <c r="O241" s="278"/>
    </row>
    <row r="242" spans="3:15" ht="15.75" customHeight="1">
      <c r="C242" s="9"/>
      <c r="H242" s="391"/>
      <c r="I242" s="21"/>
      <c r="J242" s="391"/>
      <c r="K242" s="21"/>
      <c r="L242" s="391"/>
      <c r="M242" s="21"/>
      <c r="O242" s="278"/>
    </row>
    <row r="243" spans="3:15" ht="15.75" customHeight="1">
      <c r="C243" s="9" t="s">
        <v>1166</v>
      </c>
      <c r="H243" s="391">
        <f>IF(VLOOKUP(GAS!N243,'GAS ASCII'!$B$2:$C$200,2)&gt;=500000,VLOOKUP(GAS!N243,'GAS ASCII'!$B$2:$C$200,2)/1000000,IF(VLOOKUP(GAS!N243,'GAS ASCII'!$B$2:$C$200,2)&lt;=0,"……………….","*"))</f>
        <v>47763.169</v>
      </c>
      <c r="I243" s="21"/>
      <c r="J243" s="391">
        <f>IF(VLOOKUP(GAS!N243,'GAS ASCII'!$B$2:$D$200,3)&gt;=500000,VLOOKUP(GAS!N243,'GAS ASCII'!$B$2:$D$200,3)/-1000000,IF(VLOOKUP(GAS!N243,'GAS ASCII'!$B$2:$D$200,3)&lt;=0,"……………….","*"))</f>
        <v>-4537.813</v>
      </c>
      <c r="K243" s="181"/>
      <c r="L243" s="391">
        <f>IF(VLOOKUP(GAS!N243,'GAS ASCII'!$B$2:$E$200,4)&gt;=500000,VLOOKUP(GAS!N243,'GAS ASCII'!$B$2:$E$200,4)/1000000,IF(VLOOKUP(GAS!N243,'GAS ASCII'!$B$2:$E$200,4)&lt;=0,"……………….","*"))</f>
        <v>43225.356</v>
      </c>
      <c r="M243" s="21"/>
      <c r="N243" t="s">
        <v>1065</v>
      </c>
      <c r="O243" s="278"/>
    </row>
    <row r="244" spans="3:15" ht="15.75" customHeight="1">
      <c r="C244" s="9" t="s">
        <v>143</v>
      </c>
      <c r="H244" s="391">
        <f>IF(VLOOKUP(GAS!N244,'GAS ASCII'!$B$2:$C$200,2)&gt;=500000,VLOOKUP(GAS!N244,'GAS ASCII'!$B$2:$C$200,2)/1000000,IF(VLOOKUP(GAS!N244,'GAS ASCII'!$B$2:$C$200,2)&lt;=0,"……………….","*"))</f>
        <v>1348.018</v>
      </c>
      <c r="I244" s="21"/>
      <c r="J244" s="391" t="str">
        <f>IF(VLOOKUP(GAS!N244,'GAS ASCII'!$B$2:$D$200,3)&gt;=500000,VLOOKUP(GAS!N244,'GAS ASCII'!$B$2:$D$200,3)/-1000000,IF(VLOOKUP(GAS!N244,'GAS ASCII'!$B$2:$D$200,3)&lt;=0,"……………….","*"))</f>
        <v>……………….</v>
      </c>
      <c r="K244" s="27"/>
      <c r="L244" s="391">
        <f>IF(VLOOKUP(GAS!N244,'GAS ASCII'!$B$2:$E$200,4)&gt;=500000,VLOOKUP(GAS!N244,'GAS ASCII'!$B$2:$E$200,4)/1000000,IF(VLOOKUP(GAS!N244,'GAS ASCII'!$B$2:$E$200,4)&lt;=0,"……………….","*"))</f>
        <v>1348.018</v>
      </c>
      <c r="M244" s="21"/>
      <c r="N244" t="s">
        <v>1067</v>
      </c>
      <c r="O244" s="278"/>
    </row>
    <row r="245" spans="3:15" ht="15.75" customHeight="1">
      <c r="C245" s="9" t="s">
        <v>910</v>
      </c>
      <c r="H245" s="391">
        <f>IF(VLOOKUP(GAS!N245,'GAS ASCII'!$B$2:$C$200,2)&gt;=500000,VLOOKUP(GAS!N245,'GAS ASCII'!$B$2:$C$200,2)/1000000,IF(VLOOKUP(GAS!N245,'GAS ASCII'!$B$2:$C$200,2)&lt;=0,"……………….","*"))</f>
        <v>89.603</v>
      </c>
      <c r="I245" s="21"/>
      <c r="J245" s="391">
        <f>IF(VLOOKUP(GAS!N245,'GAS ASCII'!$B$2:$D$200,3)&gt;=500000,VLOOKUP(GAS!N245,'GAS ASCII'!$B$2:$D$200,3)/-1000000,IF(VLOOKUP(GAS!N245,'GAS ASCII'!$B$2:$D$200,3)&lt;=0,"……………….","*"))</f>
        <v>-38.03</v>
      </c>
      <c r="K245" s="27"/>
      <c r="L245" s="391">
        <f>IF(VLOOKUP(GAS!N245,'GAS ASCII'!$B$2:$E$200,4)&gt;=500000,VLOOKUP(GAS!N245,'GAS ASCII'!$B$2:$E$200,4)/1000000,IF(VLOOKUP(GAS!N245,'GAS ASCII'!$B$2:$E$200,4)&lt;=0,"……………….","*"))</f>
        <v>51.573</v>
      </c>
      <c r="M245" s="21"/>
      <c r="N245" t="s">
        <v>1069</v>
      </c>
      <c r="O245" s="278"/>
    </row>
    <row r="246" spans="3:15" ht="15.75" customHeight="1">
      <c r="C246" s="9" t="s">
        <v>508</v>
      </c>
      <c r="H246" s="391">
        <f>IF(VLOOKUP(GAS!N246,'GAS ASCII'!$B$2:$C$200,2)&gt;=500000,VLOOKUP(GAS!N246,'GAS ASCII'!$B$2:$C$200,2)/1000000,IF(VLOOKUP(GAS!N246,'GAS ASCII'!$B$2:$C$200,2)&lt;=0,"……………….","*"))</f>
        <v>6.8871</v>
      </c>
      <c r="I246" s="21"/>
      <c r="J246" s="391" t="str">
        <f>IF(VLOOKUP(GAS!N246,'GAS ASCII'!$B$2:$D$200,3)&gt;=500000,VLOOKUP(GAS!N246,'GAS ASCII'!$B$2:$D$200,3)/-1000000,IF(VLOOKUP(GAS!N246,'GAS ASCII'!$B$2:$D$200,3)&lt;=0,"……………….","*"))</f>
        <v>……………….</v>
      </c>
      <c r="K246" s="27"/>
      <c r="L246" s="391">
        <f>IF(VLOOKUP(GAS!N246,'GAS ASCII'!$B$2:$E$200,4)&gt;=500000,VLOOKUP(GAS!N246,'GAS ASCII'!$B$2:$E$200,4)/1000000,IF(VLOOKUP(GAS!N246,'GAS ASCII'!$B$2:$E$200,4)&lt;=0,"……………….","*"))</f>
        <v>6.8871</v>
      </c>
      <c r="M246" s="21"/>
      <c r="N246" t="s">
        <v>1071</v>
      </c>
      <c r="O246" s="278"/>
    </row>
    <row r="247" spans="3:15" ht="15.75" customHeight="1">
      <c r="C247" s="9" t="s">
        <v>482</v>
      </c>
      <c r="H247" s="391">
        <f>IF(VLOOKUP(GAS!N247,'GAS ASCII'!$B$2:$C$200,2)&gt;=500000,VLOOKUP(GAS!N247,'GAS ASCII'!$B$2:$C$200,2)/1000000,IF(VLOOKUP(GAS!N247,'GAS ASCII'!$B$2:$C$200,2)&lt;=0,"……………….","*"))</f>
        <v>236.677</v>
      </c>
      <c r="I247" s="21"/>
      <c r="J247" s="391" t="str">
        <f>IF(VLOOKUP(GAS!N247,'GAS ASCII'!$B$2:$D$200,3)&gt;=500000,VLOOKUP(GAS!N247,'GAS ASCII'!$B$2:$D$200,3)/-1000000,IF(VLOOKUP(GAS!N247,'GAS ASCII'!$B$2:$D$200,3)&lt;=0,"……………….","*"))</f>
        <v>……………….</v>
      </c>
      <c r="K247" s="27"/>
      <c r="L247" s="391">
        <f>IF(VLOOKUP(GAS!N247,'GAS ASCII'!$B$2:$E$200,4)&gt;=500000,VLOOKUP(GAS!N247,'GAS ASCII'!$B$2:$E$200,4)/1000000,IF(VLOOKUP(GAS!N247,'GAS ASCII'!$B$2:$E$200,4)&lt;=0,"……………….","*"))</f>
        <v>236.677</v>
      </c>
      <c r="M247" s="21"/>
      <c r="N247" t="s">
        <v>1073</v>
      </c>
      <c r="O247" s="278"/>
    </row>
    <row r="248" spans="3:15" ht="15.75" customHeight="1">
      <c r="C248" s="9" t="s">
        <v>744</v>
      </c>
      <c r="H248" s="391">
        <f>IF(VLOOKUP(GAS!N248,'GAS ASCII'!$B$2:$C$200,2)&gt;=500000,VLOOKUP(GAS!N248,'GAS ASCII'!$B$2:$C$200,2)/1000000,IF(VLOOKUP(GAS!N248,'GAS ASCII'!$B$2:$C$200,2)&lt;=0,"……………….","*"))</f>
        <v>3707.799</v>
      </c>
      <c r="I248" s="21"/>
      <c r="J248" s="391" t="str">
        <f>IF(VLOOKUP(GAS!N248,'GAS ASCII'!$B$2:$D$200,3)&gt;=500000,VLOOKUP(GAS!N248,'GAS ASCII'!$B$2:$D$200,3)/-1000000,IF(VLOOKUP(GAS!N248,'GAS ASCII'!$B$2:$D$200,3)&lt;=0,"……………….","*"))</f>
        <v>……………….</v>
      </c>
      <c r="K248" s="27"/>
      <c r="L248" s="391">
        <f>IF(VLOOKUP(GAS!N248,'GAS ASCII'!$B$2:$E$200,4)&gt;=500000,VLOOKUP(GAS!N248,'GAS ASCII'!$B$2:$E$200,4)/1000000,IF(VLOOKUP(GAS!N248,'GAS ASCII'!$B$2:$E$200,4)&lt;=0,"……………….","*"))</f>
        <v>3707.799</v>
      </c>
      <c r="M248" s="21"/>
      <c r="N248" t="s">
        <v>128</v>
      </c>
      <c r="O248" s="278"/>
    </row>
    <row r="249" spans="3:15" ht="15.75" customHeight="1">
      <c r="C249" s="9" t="s">
        <v>1164</v>
      </c>
      <c r="H249" s="391">
        <f>IF(VLOOKUP(GAS!N249,'GAS ASCII'!$B$2:$C$200,2)&gt;=500000,VLOOKUP(GAS!N249,'GAS ASCII'!$B$2:$C$200,2)/1000000,IF(VLOOKUP(GAS!N249,'GAS ASCII'!$B$2:$C$200,2)&lt;=0,"……………….","*"))</f>
        <v>135.621</v>
      </c>
      <c r="I249" s="21"/>
      <c r="J249" s="391" t="str">
        <f>IF(VLOOKUP(GAS!N249,'GAS ASCII'!$B$2:$D$200,3)&gt;=500000,VLOOKUP(GAS!N249,'GAS ASCII'!$B$2:$D$200,3)/-1000000,IF(VLOOKUP(GAS!N249,'GAS ASCII'!$B$2:$D$200,3)&lt;=0,"……………….","*"))</f>
        <v>……………….</v>
      </c>
      <c r="K249" s="27"/>
      <c r="L249" s="391">
        <f>IF(VLOOKUP(GAS!N249,'GAS ASCII'!$B$2:$E$200,4)&gt;=500000,VLOOKUP(GAS!N249,'GAS ASCII'!$B$2:$E$200,4)/1000000,IF(VLOOKUP(GAS!N249,'GAS ASCII'!$B$2:$E$200,4)&lt;=0,"……………….","*"))</f>
        <v>135.621</v>
      </c>
      <c r="M249" s="21"/>
      <c r="N249" t="s">
        <v>130</v>
      </c>
      <c r="O249" s="278"/>
    </row>
    <row r="250" spans="8:15" ht="15.75" customHeight="1">
      <c r="H250" s="391"/>
      <c r="I250" s="21"/>
      <c r="J250" s="391"/>
      <c r="K250" s="21"/>
      <c r="L250" s="391"/>
      <c r="M250" s="21"/>
      <c r="O250" s="278"/>
    </row>
    <row r="251" spans="3:15" ht="15.75" customHeight="1">
      <c r="C251" s="9" t="s">
        <v>773</v>
      </c>
      <c r="H251" s="391">
        <f>IF(VLOOKUP(GAS!N251,'GAS ASCII'!$B$2:$C$200,2)&gt;=500000,VLOOKUP(GAS!N251,'GAS ASCII'!$B$2:$C$200,2)/1000000,IF(VLOOKUP(GAS!N251,'GAS ASCII'!$B$2:$C$200,2)&lt;=0,"……………….","*"))</f>
        <v>1959.757</v>
      </c>
      <c r="I251" s="21"/>
      <c r="J251" s="391" t="str">
        <f>IF(VLOOKUP(GAS!N251,'GAS ASCII'!$B$2:$D$200,3)&gt;=500000,VLOOKUP(GAS!N251,'GAS ASCII'!$B$2:$D$200,3)/-1000000,IF(VLOOKUP(GAS!N251,'GAS ASCII'!$B$2:$D$200,3)&lt;=0,"……………….","*"))</f>
        <v>……………….</v>
      </c>
      <c r="K251" s="27"/>
      <c r="L251" s="391">
        <f>IF(VLOOKUP(GAS!N251,'GAS ASCII'!$B$2:$E$200,4)&gt;=500000,VLOOKUP(GAS!N251,'GAS ASCII'!$B$2:$E$200,4)/1000000,IF(VLOOKUP(GAS!N251,'GAS ASCII'!$B$2:$E$200,4)&lt;=0,"……………….","*"))</f>
        <v>1959.757</v>
      </c>
      <c r="M251" s="21"/>
      <c r="N251" t="s">
        <v>132</v>
      </c>
      <c r="O251" s="278"/>
    </row>
    <row r="252" spans="3:15" ht="15.75" customHeight="1">
      <c r="C252" s="9" t="s">
        <v>154</v>
      </c>
      <c r="H252" s="391">
        <f>IF(VLOOKUP(GAS!N252,'GAS ASCII'!$B$2:$C$200,2)&gt;=500000,VLOOKUP(GAS!N252,'GAS ASCII'!$B$2:$C$200,2)/1000000,IF(VLOOKUP(GAS!N252,'GAS ASCII'!$B$2:$C$200,2)&lt;=0,"……………….","*"))</f>
        <v>758.471</v>
      </c>
      <c r="I252" s="21"/>
      <c r="J252" s="391">
        <f>IF(VLOOKUP(GAS!N252,'GAS ASCII'!$B$2:$D$200,3)&gt;=500000,VLOOKUP(GAS!N252,'GAS ASCII'!$B$2:$D$200,3)/-1000000,IF(VLOOKUP(GAS!N252,'GAS ASCII'!$B$2:$D$200,3)&lt;=0,"……………….","*"))</f>
        <v>-307.739</v>
      </c>
      <c r="K252" s="27"/>
      <c r="L252" s="391">
        <f>IF(VLOOKUP(GAS!N252,'GAS ASCII'!$B$2:$E$200,4)&gt;=500000,VLOOKUP(GAS!N252,'GAS ASCII'!$B$2:$E$200,4)/1000000,IF(VLOOKUP(GAS!N252,'GAS ASCII'!$B$2:$E$200,4)&lt;=0,"……………….","*"))</f>
        <v>450.732</v>
      </c>
      <c r="M252" s="21"/>
      <c r="N252" t="s">
        <v>134</v>
      </c>
      <c r="O252" s="278"/>
    </row>
    <row r="253" spans="3:15" ht="15.75" customHeight="1">
      <c r="C253" s="131" t="s">
        <v>155</v>
      </c>
      <c r="H253" s="391"/>
      <c r="I253" s="21"/>
      <c r="J253" s="391"/>
      <c r="K253" s="27"/>
      <c r="L253" s="391"/>
      <c r="M253" s="21"/>
      <c r="O253" s="278"/>
    </row>
    <row r="254" spans="3:15" ht="15.75" customHeight="1">
      <c r="C254" s="9" t="s">
        <v>297</v>
      </c>
      <c r="H254" s="391">
        <f>IF(VLOOKUP(GAS!N254,'GAS ASCII'!$B$2:$C$200,2)&gt;=500000,VLOOKUP(GAS!N254,'GAS ASCII'!$B$2:$C$200,2)/1000000,IF(VLOOKUP(GAS!N254,'GAS ASCII'!$B$2:$C$200,2)&lt;=0,"……………….","*"))</f>
        <v>2978.925</v>
      </c>
      <c r="I254" s="21"/>
      <c r="J254" s="391">
        <f>IF(VLOOKUP(GAS!N254,'GAS ASCII'!$B$2:$D$200,3)&gt;=500000,VLOOKUP(GAS!N254,'GAS ASCII'!$B$2:$D$200,3)/-1000000,IF(VLOOKUP(GAS!N254,'GAS ASCII'!$B$2:$D$200,3)&lt;=0,"……………….","*"))</f>
        <v>-1072.108</v>
      </c>
      <c r="K254" s="27"/>
      <c r="L254" s="391">
        <f>IF(VLOOKUP(GAS!N254,'GAS ASCII'!$B$2:$E$200,4)&gt;=500000,VLOOKUP(GAS!N254,'GAS ASCII'!$B$2:$E$200,4)/1000000,IF(VLOOKUP(GAS!N254,'GAS ASCII'!$B$2:$E$200,4)&lt;=0,"……………….","*"))</f>
        <v>1906.817</v>
      </c>
      <c r="M254" s="21"/>
      <c r="N254" t="s">
        <v>136</v>
      </c>
      <c r="O254" s="278"/>
    </row>
    <row r="255" spans="3:15" ht="15.75" customHeight="1">
      <c r="C255" s="131" t="s">
        <v>157</v>
      </c>
      <c r="H255" s="391" t="str">
        <f>IF(VLOOKUP(GAS!N255,'GAS ASCII'!$B$2:$C$200,2)&gt;=500000,VLOOKUP(GAS!N255,'GAS ASCII'!$B$2:$C$200,2)/1000000,IF(VLOOKUP(GAS!N255,'GAS ASCII'!$B$2:$C$200,2)&lt;=0,"……………….","*"))</f>
        <v>*</v>
      </c>
      <c r="I255" s="21"/>
      <c r="J255" s="391" t="str">
        <f>IF(VLOOKUP(GAS!N255,'GAS ASCII'!$B$2:$D$200,3)&gt;=500000,VLOOKUP(GAS!N255,'GAS ASCII'!$B$2:$D$200,3)/-1000000,IF(VLOOKUP(GAS!N255,'GAS ASCII'!$B$2:$D$200,3)&lt;=0,"……………….","*"))</f>
        <v>……………….</v>
      </c>
      <c r="K255" s="27"/>
      <c r="L255" s="391" t="str">
        <f>IF(VLOOKUP(GAS!N255,'GAS ASCII'!$B$2:$E$200,4)&gt;=500000,VLOOKUP(GAS!N255,'GAS ASCII'!$B$2:$E$200,4)/1000000,IF(VLOOKUP(GAS!N255,'GAS ASCII'!$B$2:$E$200,4)&lt;=0,"……………….","*"))</f>
        <v>*</v>
      </c>
      <c r="M255" s="21"/>
      <c r="N255" t="s">
        <v>138</v>
      </c>
      <c r="O255" s="278"/>
    </row>
    <row r="256" spans="3:15" ht="15.75" customHeight="1">
      <c r="C256" s="131" t="s">
        <v>158</v>
      </c>
      <c r="H256" s="391">
        <f>IF(VLOOKUP(GAS!N256,'GAS ASCII'!$B$2:$C$200,2)&gt;=500000,VLOOKUP(GAS!N256,'GAS ASCII'!$B$2:$C$200,2)/1000000,IF(VLOOKUP(GAS!N256,'GAS ASCII'!$B$2:$C$200,2)&lt;=0,"……………….","*"))</f>
        <v>746.23835383</v>
      </c>
      <c r="I256" s="21"/>
      <c r="J256" s="391" t="str">
        <f>IF(VLOOKUP(GAS!N256,'GAS ASCII'!$B$2:$D$200,3)&gt;=500000,VLOOKUP(GAS!N256,'GAS ASCII'!$B$2:$D$200,3)/-1000000,IF(VLOOKUP(GAS!N256,'GAS ASCII'!$B$2:$D$200,3)&lt;=0,"……………….","*"))</f>
        <v>……………….</v>
      </c>
      <c r="K256" s="27"/>
      <c r="L256" s="391">
        <f>IF(VLOOKUP(GAS!N256,'GAS ASCII'!$B$2:$E$200,4)&gt;=500000,VLOOKUP(GAS!N256,'GAS ASCII'!$B$2:$E$200,4)/1000000,IF(VLOOKUP(GAS!N256,'GAS ASCII'!$B$2:$E$200,4)&lt;=0,"……………….","*"))</f>
        <v>746.23835383</v>
      </c>
      <c r="M256" s="21"/>
      <c r="N256" t="s">
        <v>140</v>
      </c>
      <c r="O256" s="278"/>
    </row>
    <row r="257" spans="3:15" ht="15.75" customHeight="1">
      <c r="C257" s="9"/>
      <c r="H257" s="391"/>
      <c r="I257" s="21"/>
      <c r="J257" s="391"/>
      <c r="K257" s="27"/>
      <c r="L257" s="391"/>
      <c r="M257" s="21"/>
      <c r="O257" s="278"/>
    </row>
    <row r="258" spans="3:15" ht="15.75" customHeight="1">
      <c r="C258" s="9" t="s">
        <v>159</v>
      </c>
      <c r="H258" s="391">
        <f>IF(VLOOKUP(GAS!N258,'GAS ASCII'!$B$2:$C$200,2)&gt;=500000,VLOOKUP(GAS!N258,'GAS ASCII'!$B$2:$C$200,2)/1000000,IF(VLOOKUP(GAS!N258,'GAS ASCII'!$B$2:$C$200,2)&lt;=0,"……………….","*"))</f>
        <v>36.588</v>
      </c>
      <c r="I258" s="21"/>
      <c r="J258" s="391" t="str">
        <f>IF(VLOOKUP(GAS!N258,'GAS ASCII'!$B$2:$D$200,3)&gt;=500000,VLOOKUP(GAS!N258,'GAS ASCII'!$B$2:$D$200,3)/-1000000,IF(VLOOKUP(GAS!N258,'GAS ASCII'!$B$2:$D$200,3)&lt;=0,"……………….","*"))</f>
        <v>……………….</v>
      </c>
      <c r="K258" s="27"/>
      <c r="L258" s="391">
        <f>IF(VLOOKUP(GAS!N258,'GAS ASCII'!$B$2:$E$200,4)&gt;=500000,VLOOKUP(GAS!N258,'GAS ASCII'!$B$2:$E$200,4)/1000000,IF(VLOOKUP(GAS!N258,'GAS ASCII'!$B$2:$E$200,4)&lt;=0,"……………….","*"))</f>
        <v>36.588</v>
      </c>
      <c r="M258" s="21"/>
      <c r="N258" t="s">
        <v>830</v>
      </c>
      <c r="O258" s="278"/>
    </row>
    <row r="259" spans="2:13" ht="15.75" customHeight="1">
      <c r="B259" s="77" t="s">
        <v>141</v>
      </c>
      <c r="H259" s="409">
        <f>SUM(H49:H258)+2</f>
        <v>3236599.1339078285</v>
      </c>
      <c r="I259" s="410"/>
      <c r="J259" s="409">
        <f>SUM(J49:J258)-1</f>
        <v>-188732.74560097998</v>
      </c>
      <c r="K259" s="410"/>
      <c r="L259" s="409">
        <f>H259+J259</f>
        <v>3047866.3883068487</v>
      </c>
      <c r="M259" s="410"/>
    </row>
    <row r="260" spans="2:13" ht="15.75" customHeight="1">
      <c r="B260" s="77" t="s">
        <v>695</v>
      </c>
      <c r="H260" s="409">
        <f>583.802-11.62</f>
        <v>572.182</v>
      </c>
      <c r="I260" s="410"/>
      <c r="J260" s="391" t="str">
        <f>IF(VLOOKUP(GAS!N260,'GAS ASCII'!$B$2:$D$200,3)&gt;=500000,VLOOKUP(GAS!N260,'GAS ASCII'!$B$2:$D$200,3)/-1000000,IF(VLOOKUP(GAS!N260,'GAS ASCII'!$B$2:$D$200,3)&lt;=0,"……………….","*"))</f>
        <v>……………….</v>
      </c>
      <c r="K260" s="410"/>
      <c r="L260" s="409">
        <f>H260+J260</f>
        <v>572.182</v>
      </c>
      <c r="M260" s="410"/>
    </row>
    <row r="261" spans="2:13" ht="15.75" customHeight="1">
      <c r="B261" s="77" t="s">
        <v>141</v>
      </c>
      <c r="H261" s="409">
        <f>+H259+H260</f>
        <v>3237171.3159078285</v>
      </c>
      <c r="I261" s="410"/>
      <c r="J261" s="409">
        <f>+J259+J260</f>
        <v>-188732.74560097998</v>
      </c>
      <c r="K261" s="410"/>
      <c r="L261" s="409">
        <f>+L259+L260-1</f>
        <v>3048437.5703068487</v>
      </c>
      <c r="M261" s="410"/>
    </row>
    <row r="262" spans="2:13" ht="21.75" customHeight="1" thickBot="1">
      <c r="B262" s="74" t="s">
        <v>106</v>
      </c>
      <c r="C262" s="9"/>
      <c r="H262" s="231">
        <f>+H45+H261</f>
        <v>3294498.6394055984</v>
      </c>
      <c r="I262" s="276"/>
      <c r="J262" s="418">
        <f>+J45+J261-1</f>
        <v>-188767.42860097997</v>
      </c>
      <c r="K262" s="276"/>
      <c r="L262" s="231">
        <f>+H262+J262+1</f>
        <v>3105732.2108046184</v>
      </c>
      <c r="M262" s="276"/>
    </row>
    <row r="263" spans="2:13" ht="15.75" customHeight="1" thickTop="1">
      <c r="B263" s="74"/>
      <c r="C263" s="9"/>
      <c r="H263" s="264"/>
      <c r="I263" s="264"/>
      <c r="J263" s="264"/>
      <c r="K263" s="265"/>
      <c r="L263" s="266"/>
      <c r="M263" s="264"/>
    </row>
    <row r="264" spans="1:13" ht="18">
      <c r="A264" s="136" t="s">
        <v>52</v>
      </c>
      <c r="B264" s="136"/>
      <c r="C264" s="137"/>
      <c r="D264" s="137"/>
      <c r="E264" s="62"/>
      <c r="F264" s="62"/>
      <c r="G264" s="62"/>
      <c r="H264" s="62"/>
      <c r="I264" s="62"/>
      <c r="J264" s="62"/>
      <c r="K264" s="62"/>
      <c r="L264" s="275"/>
      <c r="M264" s="62"/>
    </row>
    <row r="265" spans="1:13" ht="15">
      <c r="A265" s="77"/>
      <c r="B265" s="138" t="s">
        <v>201</v>
      </c>
      <c r="C265" s="77"/>
      <c r="D265" s="77"/>
      <c r="E265" s="77"/>
      <c r="F265" s="77"/>
      <c r="G265" s="77"/>
      <c r="H265" s="277"/>
      <c r="I265" s="77"/>
      <c r="J265" s="77"/>
      <c r="K265" s="77"/>
      <c r="L265" s="81"/>
      <c r="M265" s="77"/>
    </row>
    <row r="266" spans="1:13" ht="15.75" customHeight="1">
      <c r="A266" s="77"/>
      <c r="B266" s="77"/>
      <c r="C266" s="138" t="s">
        <v>1134</v>
      </c>
      <c r="D266" s="77"/>
      <c r="E266" s="77"/>
      <c r="F266" s="77"/>
      <c r="G266" s="77"/>
      <c r="H266" s="77"/>
      <c r="I266" s="77"/>
      <c r="J266" s="77"/>
      <c r="K266" s="160">
        <v>14</v>
      </c>
      <c r="L266" s="140">
        <v>257.8124109</v>
      </c>
      <c r="M266" s="77"/>
    </row>
    <row r="267" spans="1:13" ht="15.75" customHeight="1">
      <c r="A267" s="77"/>
      <c r="B267" s="77"/>
      <c r="C267" s="138" t="s">
        <v>0</v>
      </c>
      <c r="D267" s="77"/>
      <c r="E267" s="77"/>
      <c r="F267" s="77"/>
      <c r="G267" s="77"/>
      <c r="H267" s="77"/>
      <c r="I267" s="77"/>
      <c r="J267" s="77"/>
      <c r="K267" s="160">
        <v>15</v>
      </c>
      <c r="L267" s="140">
        <v>65.19132</v>
      </c>
      <c r="M267" s="77"/>
    </row>
    <row r="268" spans="1:13" ht="15.75" customHeight="1">
      <c r="A268" s="77"/>
      <c r="B268" s="77"/>
      <c r="C268" s="138" t="s">
        <v>1136</v>
      </c>
      <c r="D268" s="77"/>
      <c r="E268" s="77"/>
      <c r="F268" s="77"/>
      <c r="G268" s="77"/>
      <c r="H268" s="77"/>
      <c r="I268" s="77"/>
      <c r="J268" s="77"/>
      <c r="K268" s="160">
        <v>16</v>
      </c>
      <c r="L268" s="140">
        <v>178.655447</v>
      </c>
      <c r="M268" s="77"/>
    </row>
    <row r="269" spans="1:13" ht="15.75" customHeight="1">
      <c r="A269" s="77"/>
      <c r="B269" s="77"/>
      <c r="C269" s="138" t="s">
        <v>1137</v>
      </c>
      <c r="D269" s="77"/>
      <c r="E269" s="77"/>
      <c r="F269" s="77"/>
      <c r="G269" s="77"/>
      <c r="H269" s="77"/>
      <c r="I269" s="77"/>
      <c r="J269" s="77"/>
      <c r="K269" s="141"/>
      <c r="L269" s="140">
        <f>L270-L268-L267-L266</f>
        <v>11.447964030000037</v>
      </c>
      <c r="M269" s="77"/>
    </row>
    <row r="270" spans="1:13" ht="18" customHeight="1" thickBot="1">
      <c r="A270" s="77"/>
      <c r="B270" s="138" t="s">
        <v>976</v>
      </c>
      <c r="C270" s="77"/>
      <c r="D270" s="77"/>
      <c r="E270" s="77"/>
      <c r="F270" s="77"/>
      <c r="G270" s="77"/>
      <c r="H270" s="77"/>
      <c r="I270" s="77"/>
      <c r="J270" s="77"/>
      <c r="K270" s="77"/>
      <c r="L270" s="142">
        <v>513.10714193</v>
      </c>
      <c r="M270" s="143"/>
    </row>
    <row r="271" spans="1:13" ht="16.5" customHeight="1" thickTop="1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140"/>
      <c r="M271" s="123"/>
    </row>
    <row r="272" spans="1:13" ht="16.5" customHeight="1">
      <c r="A272" s="77"/>
      <c r="B272" s="138" t="s">
        <v>1002</v>
      </c>
      <c r="C272" s="77"/>
      <c r="D272" s="77"/>
      <c r="E272" s="77"/>
      <c r="F272" s="77"/>
      <c r="G272" s="77"/>
      <c r="H272" s="77"/>
      <c r="I272" s="77"/>
      <c r="J272" s="77"/>
      <c r="K272" s="77"/>
      <c r="L272" s="140"/>
      <c r="M272" s="77"/>
    </row>
    <row r="273" spans="1:13" ht="15.75" customHeight="1">
      <c r="A273" s="77"/>
      <c r="B273" s="77"/>
      <c r="C273" s="138" t="s">
        <v>978</v>
      </c>
      <c r="D273" s="77"/>
      <c r="E273" s="77"/>
      <c r="F273" s="77"/>
      <c r="G273" s="77"/>
      <c r="H273" s="77"/>
      <c r="I273" s="77"/>
      <c r="J273" s="77"/>
      <c r="K273" s="160" t="s">
        <v>948</v>
      </c>
      <c r="L273" s="140">
        <v>4005.746889</v>
      </c>
      <c r="M273" s="77"/>
    </row>
    <row r="274" spans="1:13" ht="15.75" customHeight="1">
      <c r="A274" s="77"/>
      <c r="B274" s="77"/>
      <c r="C274" s="138" t="s">
        <v>242</v>
      </c>
      <c r="D274" s="77"/>
      <c r="E274" s="77"/>
      <c r="F274" s="77"/>
      <c r="G274" s="77"/>
      <c r="H274" s="77"/>
      <c r="I274" s="77"/>
      <c r="J274" s="77"/>
      <c r="K274" s="141"/>
      <c r="L274" s="140">
        <v>45.0508532</v>
      </c>
      <c r="M274" s="77"/>
    </row>
    <row r="275" spans="1:13" ht="15.75" customHeight="1">
      <c r="A275" s="77"/>
      <c r="B275" s="77"/>
      <c r="C275" s="138" t="s">
        <v>1137</v>
      </c>
      <c r="D275" s="77"/>
      <c r="E275" s="77"/>
      <c r="F275" s="77"/>
      <c r="G275" s="77"/>
      <c r="H275" s="77"/>
      <c r="I275" s="77"/>
      <c r="J275" s="77"/>
      <c r="K275" s="160"/>
      <c r="L275" s="140">
        <f>+L276-L273-L274</f>
        <v>6.341311210000079</v>
      </c>
      <c r="M275" s="77"/>
    </row>
    <row r="276" spans="1:13" ht="18" customHeight="1" thickBot="1">
      <c r="A276" s="77"/>
      <c r="B276" s="138" t="s">
        <v>277</v>
      </c>
      <c r="C276" s="77"/>
      <c r="D276" s="77"/>
      <c r="E276" s="77"/>
      <c r="F276" s="77"/>
      <c r="G276" s="77"/>
      <c r="H276" s="77"/>
      <c r="I276" s="77"/>
      <c r="J276" s="77"/>
      <c r="K276" s="141"/>
      <c r="L276" s="142">
        <v>4057.13905341</v>
      </c>
      <c r="M276" s="143"/>
    </row>
    <row r="277" spans="1:13" ht="21" customHeight="1" thickBot="1" thickTop="1">
      <c r="A277" s="136" t="s">
        <v>436</v>
      </c>
      <c r="B277" s="136"/>
      <c r="C277" s="137"/>
      <c r="D277" s="137"/>
      <c r="E277" s="177"/>
      <c r="F277" s="177"/>
      <c r="G277" s="177"/>
      <c r="H277" s="177"/>
      <c r="I277" s="177"/>
      <c r="J277" s="177"/>
      <c r="K277" s="234"/>
      <c r="L277" s="110">
        <f>+L270+L276</f>
        <v>4570.24619534</v>
      </c>
      <c r="M277" s="55"/>
    </row>
    <row r="278" spans="3:13" ht="15.75" customHeight="1" thickTop="1">
      <c r="C278" s="9"/>
      <c r="G278" s="62"/>
      <c r="H278" s="107"/>
      <c r="I278" s="107"/>
      <c r="J278" s="108"/>
      <c r="K278" s="27"/>
      <c r="L278" s="40"/>
      <c r="M278" s="21"/>
    </row>
    <row r="279" spans="1:13" ht="18" customHeight="1" thickBot="1">
      <c r="A279" s="23" t="s">
        <v>278</v>
      </c>
      <c r="B279" s="23"/>
      <c r="H279" s="115"/>
      <c r="I279" s="107"/>
      <c r="J279" s="115"/>
      <c r="K279" s="235"/>
      <c r="L279" s="110">
        <f>SUM(L262,L277,Nonmarketable!O18,Nonmarketable!O26,Nonmarketable!O31,Nonmarketable!O43,Nonmarketable!O62)</f>
        <v>3508091.8955517784</v>
      </c>
      <c r="M279" s="165"/>
    </row>
    <row r="280" spans="3:13" ht="15.75" customHeight="1" thickTop="1">
      <c r="C280" s="9"/>
      <c r="G280" s="62"/>
      <c r="H280" s="107"/>
      <c r="I280" s="107"/>
      <c r="J280" s="108"/>
      <c r="K280" s="27"/>
      <c r="L280" s="236"/>
      <c r="M280" s="21"/>
    </row>
    <row r="281" spans="1:13" s="62" customFormat="1" ht="24.75" customHeight="1" thickBot="1">
      <c r="A281" s="358" t="s">
        <v>492</v>
      </c>
      <c r="B281" s="178"/>
      <c r="C281" s="179"/>
      <c r="D281" s="179"/>
      <c r="E281" s="180"/>
      <c r="F281" s="180"/>
      <c r="G281" s="180"/>
      <c r="H281" s="180"/>
      <c r="I281" s="180"/>
      <c r="J281" s="180"/>
      <c r="K281" s="180"/>
      <c r="L281" s="359">
        <f>SUM(Marketable!O283,L279)+1</f>
        <v>7316568.4112732485</v>
      </c>
      <c r="M281" s="129"/>
    </row>
    <row r="282" spans="1:13" s="62" customFormat="1" ht="15.75" customHeight="1" thickTop="1">
      <c r="A282" s="420"/>
      <c r="B282" s="421"/>
      <c r="C282" s="135"/>
      <c r="D282" s="135"/>
      <c r="E282" s="177"/>
      <c r="F282" s="177"/>
      <c r="G282" s="177"/>
      <c r="H282" s="177"/>
      <c r="I282" s="177"/>
      <c r="J282" s="177"/>
      <c r="K282" s="177"/>
      <c r="L282" s="422"/>
      <c r="M282" s="96"/>
    </row>
    <row r="283" spans="1:13" s="62" customFormat="1" ht="15.75" customHeight="1">
      <c r="A283" s="420"/>
      <c r="B283" s="421"/>
      <c r="C283" s="135"/>
      <c r="D283" s="135"/>
      <c r="E283" s="177"/>
      <c r="F283" s="177"/>
      <c r="G283" s="177"/>
      <c r="H283" s="177"/>
      <c r="I283" s="177"/>
      <c r="J283" s="177"/>
      <c r="K283" s="177"/>
      <c r="L283" s="422"/>
      <c r="M283" s="96"/>
    </row>
    <row r="284" spans="1:13" s="62" customFormat="1" ht="15.75" customHeight="1">
      <c r="A284" s="420"/>
      <c r="B284" s="421"/>
      <c r="C284" s="135"/>
      <c r="D284" s="135"/>
      <c r="E284" s="177"/>
      <c r="F284" s="177"/>
      <c r="G284" s="177"/>
      <c r="H284" s="177"/>
      <c r="I284" s="177"/>
      <c r="J284" s="177"/>
      <c r="K284" s="177"/>
      <c r="L284" s="422"/>
      <c r="M284" s="96"/>
    </row>
    <row r="285" spans="1:13" s="62" customFormat="1" ht="15.75" customHeight="1">
      <c r="A285" s="420"/>
      <c r="B285" s="421"/>
      <c r="C285" s="135"/>
      <c r="D285" s="135"/>
      <c r="E285" s="177"/>
      <c r="F285" s="177"/>
      <c r="G285" s="177"/>
      <c r="H285" s="177"/>
      <c r="I285" s="177"/>
      <c r="J285" s="177"/>
      <c r="K285" s="177"/>
      <c r="L285" s="422"/>
      <c r="M285" s="96"/>
    </row>
    <row r="286" spans="1:13" ht="16.5" customHeight="1" thickBot="1">
      <c r="A286" s="358"/>
      <c r="B286" s="358"/>
      <c r="C286" s="358"/>
      <c r="D286" s="358"/>
      <c r="E286" s="358"/>
      <c r="F286" s="358"/>
      <c r="G286" s="358"/>
      <c r="H286" s="358"/>
      <c r="I286" s="358"/>
      <c r="J286" s="358"/>
      <c r="K286" s="358"/>
      <c r="L286" s="358"/>
      <c r="M286" s="358"/>
    </row>
    <row r="287" spans="1:13" ht="16.5" customHeight="1" thickTop="1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123"/>
      <c r="L287" s="176"/>
      <c r="M287" s="123"/>
    </row>
    <row r="288" spans="1:13" ht="16.5" customHeight="1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123"/>
      <c r="L288" s="176"/>
      <c r="M288" s="123"/>
    </row>
    <row r="289" spans="1:13" ht="16.5" customHeight="1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123"/>
      <c r="L289" s="176"/>
      <c r="M289" s="123"/>
    </row>
    <row r="290" spans="1:13" ht="16.5" customHeight="1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123"/>
      <c r="L290" s="176"/>
      <c r="M290" s="123"/>
    </row>
    <row r="291" spans="1:13" ht="16.5" customHeight="1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123"/>
      <c r="L291" s="176"/>
      <c r="M291" s="123"/>
    </row>
    <row r="292" spans="1:13" ht="16.5" customHeight="1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123"/>
      <c r="L292" s="176"/>
      <c r="M292" s="123"/>
    </row>
    <row r="293" spans="1:13" ht="16.5" customHeight="1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123"/>
      <c r="L293" s="176"/>
      <c r="M293" s="123"/>
    </row>
    <row r="294" spans="1:13" ht="16.5" customHeight="1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123"/>
      <c r="L294" s="176"/>
      <c r="M294" s="123"/>
    </row>
    <row r="295" spans="1:13" ht="16.5" customHeight="1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123"/>
      <c r="L295" s="176"/>
      <c r="M295" s="123"/>
    </row>
    <row r="296" spans="1:13" ht="16.5" customHeight="1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123"/>
      <c r="L296" s="176"/>
      <c r="M296" s="123"/>
    </row>
    <row r="297" spans="1:13" ht="16.5" customHeight="1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123"/>
      <c r="L297" s="176"/>
      <c r="M297" s="123"/>
    </row>
    <row r="298" spans="1:13" ht="16.5" customHeight="1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123"/>
      <c r="L298" s="176"/>
      <c r="M298" s="123"/>
    </row>
    <row r="299" spans="1:13" ht="16.5" customHeight="1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123"/>
      <c r="L299" s="176"/>
      <c r="M299" s="123"/>
    </row>
    <row r="300" spans="1:13" ht="16.5" customHeight="1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123"/>
      <c r="L300" s="176"/>
      <c r="M300" s="123"/>
    </row>
  </sheetData>
  <printOptions horizontalCentered="1"/>
  <pageMargins left="0" right="0" top="0.4" bottom="0.25" header="0" footer="0.18"/>
  <pageSetup fitToHeight="3" horizontalDpi="300" verticalDpi="300" orientation="portrait" scale="50" r:id="rId1"/>
  <rowBreaks count="2" manualBreakCount="2">
    <brk id="96" max="12" man="1"/>
    <brk id="192" max="12" man="1"/>
  </rowBreaks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M185"/>
  <sheetViews>
    <sheetView showGridLines="0" view="pageBreakPreview" zoomScale="75" zoomScaleNormal="80" zoomScaleSheetLayoutView="75" workbookViewId="0" topLeftCell="A1">
      <selection activeCell="J8" sqref="J8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2" s="77" customFormat="1" ht="15.75" customHeight="1">
      <c r="A1" s="383" t="s">
        <v>678</v>
      </c>
      <c r="B1" s="75" t="s">
        <v>259</v>
      </c>
      <c r="C1" s="75"/>
      <c r="D1" s="75"/>
      <c r="E1" s="76"/>
      <c r="F1" s="76"/>
      <c r="G1" s="76"/>
      <c r="H1" s="76"/>
      <c r="I1" s="76"/>
      <c r="J1" s="279"/>
      <c r="K1" s="279"/>
      <c r="L1" s="74"/>
    </row>
    <row r="2" spans="1:12" s="77" customFormat="1" ht="15.75" customHeight="1">
      <c r="A2" s="221"/>
      <c r="B2" s="281" t="s">
        <v>1020</v>
      </c>
      <c r="C2" s="75"/>
      <c r="D2" s="75"/>
      <c r="E2" s="76"/>
      <c r="F2" s="76"/>
      <c r="G2" s="76"/>
      <c r="H2" s="76"/>
      <c r="I2" s="76"/>
      <c r="J2" s="279"/>
      <c r="K2" s="279"/>
      <c r="L2" s="74"/>
    </row>
    <row r="3" spans="1:12" s="77" customFormat="1" ht="15.75" customHeight="1">
      <c r="A3" s="282"/>
      <c r="B3" s="281"/>
      <c r="C3" s="283"/>
      <c r="D3" s="283"/>
      <c r="E3" s="283"/>
      <c r="F3" s="283"/>
      <c r="G3" s="283"/>
      <c r="H3" s="283"/>
      <c r="I3" s="283"/>
      <c r="J3" s="284"/>
      <c r="K3" s="283"/>
      <c r="L3" s="285"/>
    </row>
    <row r="4" spans="1:12" s="77" customFormat="1" ht="15.75" customHeight="1">
      <c r="A4" s="286"/>
      <c r="B4" s="286"/>
      <c r="C4" s="286"/>
      <c r="D4" s="287"/>
      <c r="E4" s="365"/>
      <c r="F4" s="363"/>
      <c r="G4" s="288"/>
      <c r="H4" s="287"/>
      <c r="I4" s="288"/>
      <c r="J4" s="289"/>
      <c r="K4" s="285"/>
      <c r="L4" s="285"/>
    </row>
    <row r="5" spans="1:12" s="77" customFormat="1" ht="16.5" customHeight="1">
      <c r="A5" s="76" t="s">
        <v>833</v>
      </c>
      <c r="B5" s="76"/>
      <c r="C5" s="76"/>
      <c r="D5" s="408">
        <v>38199</v>
      </c>
      <c r="E5" s="408">
        <v>37833</v>
      </c>
      <c r="F5" s="366" t="s">
        <v>174</v>
      </c>
      <c r="G5" s="366" t="s">
        <v>124</v>
      </c>
      <c r="H5" s="366" t="s">
        <v>569</v>
      </c>
      <c r="I5" s="354" t="s">
        <v>570</v>
      </c>
      <c r="J5" s="76"/>
      <c r="L5" s="283"/>
    </row>
    <row r="6" spans="1:12" s="77" customFormat="1" ht="15.75" customHeight="1">
      <c r="A6" s="290"/>
      <c r="B6" s="290"/>
      <c r="C6" s="290"/>
      <c r="D6" s="367"/>
      <c r="E6" s="367"/>
      <c r="F6" s="364"/>
      <c r="G6" s="364"/>
      <c r="H6" s="355"/>
      <c r="I6" s="356"/>
      <c r="J6" s="357"/>
      <c r="K6" s="285"/>
      <c r="L6" s="285"/>
    </row>
    <row r="7" spans="1:12" s="77" customFormat="1" ht="21" customHeight="1">
      <c r="A7" s="267" t="s">
        <v>437</v>
      </c>
      <c r="D7" s="370">
        <f>+Summary!F30</f>
        <v>4267913.1002794</v>
      </c>
      <c r="E7" s="368">
        <v>3902894</v>
      </c>
      <c r="F7" s="368">
        <v>3924090</v>
      </c>
      <c r="G7" s="368">
        <v>3553180.248</v>
      </c>
      <c r="H7" s="368">
        <v>3339310</v>
      </c>
      <c r="I7" s="388">
        <v>3439322</v>
      </c>
      <c r="J7" s="389"/>
      <c r="K7" s="285"/>
      <c r="L7" s="282"/>
    </row>
    <row r="8" spans="1:12" s="77" customFormat="1" ht="21" customHeight="1">
      <c r="A8" s="267" t="s">
        <v>442</v>
      </c>
      <c r="D8" s="260">
        <f>Summary!I30</f>
        <v>3048654.310993849</v>
      </c>
      <c r="E8" s="369">
        <v>2848301</v>
      </c>
      <c r="F8" s="369">
        <v>2859141</v>
      </c>
      <c r="G8" s="369">
        <v>2675055.718</v>
      </c>
      <c r="H8" s="369">
        <v>2468153</v>
      </c>
      <c r="I8" s="260">
        <v>2234857</v>
      </c>
      <c r="J8" s="261"/>
      <c r="K8" s="285"/>
      <c r="L8" s="282"/>
    </row>
    <row r="9" spans="1:12" s="77" customFormat="1" ht="21" customHeight="1" thickBot="1">
      <c r="A9" s="268" t="s">
        <v>443</v>
      </c>
      <c r="B9" s="258"/>
      <c r="C9" s="258"/>
      <c r="D9" s="259">
        <f>+Summary!L30</f>
        <v>7316568.4112732485</v>
      </c>
      <c r="E9" s="262">
        <f>SUM(E7:E8)</f>
        <v>6751195</v>
      </c>
      <c r="F9" s="262">
        <f>SUM(F7:F8)</f>
        <v>6783231</v>
      </c>
      <c r="G9" s="262">
        <f>SUM(G7:G8)</f>
        <v>6228235.966</v>
      </c>
      <c r="H9" s="262">
        <f>SUM(H7:H8)</f>
        <v>5807463</v>
      </c>
      <c r="I9" s="262">
        <f>SUM(I7:I8)-1</f>
        <v>5674178</v>
      </c>
      <c r="J9" s="263"/>
      <c r="K9" s="285"/>
      <c r="L9" s="282"/>
    </row>
    <row r="10" spans="1:12" s="77" customFormat="1" ht="12.75" customHeight="1" thickTop="1">
      <c r="A10" s="273"/>
      <c r="B10" s="272"/>
      <c r="C10" s="272"/>
      <c r="D10" s="272"/>
      <c r="E10" s="272"/>
      <c r="F10" s="272"/>
      <c r="G10" s="429"/>
      <c r="H10" s="429"/>
      <c r="I10" s="429"/>
      <c r="J10" s="429"/>
      <c r="L10" s="282"/>
    </row>
    <row r="11" spans="1:13" s="77" customFormat="1" ht="28.5" customHeight="1" thickBot="1">
      <c r="A11" s="270" t="s">
        <v>260</v>
      </c>
      <c r="B11" s="270"/>
      <c r="C11" s="270"/>
      <c r="D11" s="270"/>
      <c r="E11" s="271"/>
      <c r="F11" s="271"/>
      <c r="G11" s="271"/>
      <c r="H11" s="271"/>
      <c r="I11" s="271"/>
      <c r="J11" s="270"/>
      <c r="L11" s="285"/>
      <c r="M11" s="138" t="s">
        <v>1003</v>
      </c>
    </row>
    <row r="12" spans="1:12" s="77" customFormat="1" ht="15.75" thickTop="1">
      <c r="A12" s="123"/>
      <c r="B12" s="123"/>
      <c r="C12" s="123"/>
      <c r="D12" s="81"/>
      <c r="E12" s="81"/>
      <c r="F12" s="81"/>
      <c r="G12" s="123"/>
      <c r="H12" s="123"/>
      <c r="I12" s="269"/>
      <c r="J12" s="123"/>
      <c r="K12" s="282"/>
      <c r="L12" s="282"/>
    </row>
    <row r="13" spans="4:12" s="77" customFormat="1" ht="14.25" customHeight="1">
      <c r="D13" s="292" t="s">
        <v>1006</v>
      </c>
      <c r="E13" s="81"/>
      <c r="F13" s="293" t="s">
        <v>1021</v>
      </c>
      <c r="G13" s="76"/>
      <c r="H13" s="76"/>
      <c r="I13" s="269"/>
      <c r="J13" s="282"/>
      <c r="K13" s="282"/>
      <c r="L13" s="282"/>
    </row>
    <row r="14" spans="1:11" s="77" customFormat="1" ht="16.5" customHeight="1">
      <c r="A14" s="76" t="s">
        <v>577</v>
      </c>
      <c r="B14" s="76"/>
      <c r="C14" s="76"/>
      <c r="D14" s="292" t="s">
        <v>1007</v>
      </c>
      <c r="E14" s="292" t="s">
        <v>1008</v>
      </c>
      <c r="F14" s="81"/>
      <c r="I14" s="294" t="s">
        <v>1102</v>
      </c>
      <c r="J14" s="283"/>
      <c r="K14" s="279"/>
    </row>
    <row r="15" spans="4:12" s="77" customFormat="1" ht="15.75" customHeight="1">
      <c r="D15" s="292" t="s">
        <v>1077</v>
      </c>
      <c r="E15" s="81"/>
      <c r="F15" s="295" t="s">
        <v>1078</v>
      </c>
      <c r="G15" s="295" t="s">
        <v>1079</v>
      </c>
      <c r="H15" s="295" t="s">
        <v>1079</v>
      </c>
      <c r="I15" s="296" t="s">
        <v>551</v>
      </c>
      <c r="J15" s="65"/>
      <c r="K15" s="123"/>
      <c r="L15" s="123"/>
    </row>
    <row r="16" spans="1:10" s="77" customFormat="1" ht="14.25" customHeight="1">
      <c r="A16" s="82"/>
      <c r="B16" s="82"/>
      <c r="C16" s="82"/>
      <c r="D16" s="83"/>
      <c r="E16" s="83"/>
      <c r="F16" s="297" t="s">
        <v>862</v>
      </c>
      <c r="G16" s="298" t="s">
        <v>1080</v>
      </c>
      <c r="H16" s="298" t="s">
        <v>1081</v>
      </c>
      <c r="I16" s="299"/>
      <c r="J16" s="291"/>
    </row>
    <row r="17" spans="1:12" s="77" customFormat="1" ht="14.25" customHeight="1">
      <c r="A17" s="123"/>
      <c r="B17" s="123"/>
      <c r="C17" s="123"/>
      <c r="D17" s="81"/>
      <c r="E17" s="81"/>
      <c r="F17" s="300"/>
      <c r="G17" s="292"/>
      <c r="H17" s="292"/>
      <c r="I17" s="84"/>
      <c r="J17" s="285"/>
      <c r="K17" s="279"/>
      <c r="L17" s="279"/>
    </row>
    <row r="18" spans="1:12" s="77" customFormat="1" ht="14.25" customHeight="1">
      <c r="A18" s="138" t="s">
        <v>1082</v>
      </c>
      <c r="D18" s="81"/>
      <c r="E18" s="81"/>
      <c r="F18" s="140"/>
      <c r="G18" s="140"/>
      <c r="H18" s="140"/>
      <c r="I18" s="84"/>
      <c r="J18" s="282"/>
      <c r="K18" s="123"/>
      <c r="L18" s="123"/>
    </row>
    <row r="19" spans="1:10" s="77" customFormat="1" ht="13.5" customHeight="1">
      <c r="A19" s="138" t="s">
        <v>63</v>
      </c>
      <c r="C19" s="301" t="s">
        <v>71</v>
      </c>
      <c r="D19" s="81"/>
      <c r="E19" s="81"/>
      <c r="F19" s="140"/>
      <c r="G19" s="140"/>
      <c r="H19" s="140"/>
      <c r="I19" s="84"/>
      <c r="J19" s="282"/>
    </row>
    <row r="20" spans="1:10" s="77" customFormat="1" ht="15.75" customHeight="1">
      <c r="A20" s="302" t="s">
        <v>534</v>
      </c>
      <c r="C20" s="301" t="s">
        <v>674</v>
      </c>
      <c r="D20" s="303" t="s">
        <v>1083</v>
      </c>
      <c r="E20" s="304">
        <v>38306</v>
      </c>
      <c r="F20" s="140">
        <v>8301806</v>
      </c>
      <c r="G20" s="140">
        <v>4607893</v>
      </c>
      <c r="H20" s="140">
        <f aca="true" t="shared" si="0" ref="H20:H57">SUM(F20-G20)</f>
        <v>3693913</v>
      </c>
      <c r="I20" s="84">
        <v>85000</v>
      </c>
      <c r="J20" s="282"/>
    </row>
    <row r="21" spans="1:10" s="77" customFormat="1" ht="15" customHeight="1">
      <c r="A21" s="302" t="s">
        <v>11</v>
      </c>
      <c r="C21" s="301" t="s">
        <v>679</v>
      </c>
      <c r="D21" s="303" t="s">
        <v>1084</v>
      </c>
      <c r="E21" s="304">
        <v>38487</v>
      </c>
      <c r="F21" s="140">
        <v>4260758</v>
      </c>
      <c r="G21" s="140">
        <v>2075469</v>
      </c>
      <c r="H21" s="140">
        <f t="shared" si="0"/>
        <v>2185289</v>
      </c>
      <c r="I21" s="84">
        <v>0</v>
      </c>
      <c r="J21" s="282"/>
    </row>
    <row r="22" spans="1:12" s="77" customFormat="1" ht="15.75" customHeight="1">
      <c r="A22" s="302" t="s">
        <v>12</v>
      </c>
      <c r="C22" s="301" t="s">
        <v>675</v>
      </c>
      <c r="D22" s="303" t="s">
        <v>1085</v>
      </c>
      <c r="E22" s="304">
        <v>38579</v>
      </c>
      <c r="F22" s="140">
        <v>9269713</v>
      </c>
      <c r="G22" s="140">
        <v>6266284</v>
      </c>
      <c r="H22" s="140">
        <f t="shared" si="0"/>
        <v>3003429</v>
      </c>
      <c r="I22" s="84">
        <v>0</v>
      </c>
      <c r="J22" s="282"/>
      <c r="K22" s="279"/>
      <c r="L22" s="76"/>
    </row>
    <row r="23" spans="1:10" s="77" customFormat="1" ht="15" customHeight="1">
      <c r="A23" s="302" t="s">
        <v>535</v>
      </c>
      <c r="C23" s="301" t="s">
        <v>681</v>
      </c>
      <c r="D23" s="303" t="s">
        <v>1086</v>
      </c>
      <c r="E23" s="304">
        <v>38763</v>
      </c>
      <c r="F23" s="140">
        <v>4755916</v>
      </c>
      <c r="G23" s="140">
        <v>4302126</v>
      </c>
      <c r="H23" s="140">
        <f t="shared" si="0"/>
        <v>453790</v>
      </c>
      <c r="I23" s="84">
        <v>2688</v>
      </c>
      <c r="J23" s="282"/>
    </row>
    <row r="24" spans="1:12" s="77" customFormat="1" ht="15" customHeight="1">
      <c r="A24" s="302" t="s">
        <v>536</v>
      </c>
      <c r="B24" s="155" t="s">
        <v>859</v>
      </c>
      <c r="C24" s="301" t="s">
        <v>672</v>
      </c>
      <c r="D24" s="303" t="s">
        <v>342</v>
      </c>
      <c r="E24" s="304">
        <v>41958</v>
      </c>
      <c r="F24" s="140">
        <v>5015284</v>
      </c>
      <c r="G24" s="140">
        <v>1822162</v>
      </c>
      <c r="H24" s="140">
        <f t="shared" si="0"/>
        <v>3193122</v>
      </c>
      <c r="I24" s="84">
        <v>0</v>
      </c>
      <c r="J24" s="282"/>
      <c r="K24" s="123"/>
      <c r="L24" s="123"/>
    </row>
    <row r="25" spans="1:10" s="77" customFormat="1" ht="15" customHeight="1">
      <c r="A25" s="302" t="s">
        <v>537</v>
      </c>
      <c r="C25" s="301" t="s">
        <v>621</v>
      </c>
      <c r="D25" s="303" t="s">
        <v>343</v>
      </c>
      <c r="E25" s="304">
        <v>42050</v>
      </c>
      <c r="F25" s="140">
        <v>10520299</v>
      </c>
      <c r="G25" s="140">
        <v>8306780</v>
      </c>
      <c r="H25" s="140">
        <f t="shared" si="0"/>
        <v>2213519</v>
      </c>
      <c r="I25" s="84">
        <v>527560</v>
      </c>
      <c r="J25" s="282"/>
    </row>
    <row r="26" spans="1:10" s="77" customFormat="1" ht="15.75" customHeight="1">
      <c r="A26" s="302" t="s">
        <v>1182</v>
      </c>
      <c r="C26" s="301" t="s">
        <v>622</v>
      </c>
      <c r="D26" s="303" t="s">
        <v>344</v>
      </c>
      <c r="E26" s="304">
        <v>42231</v>
      </c>
      <c r="F26" s="140">
        <v>4023916</v>
      </c>
      <c r="G26" s="140">
        <v>3348111</v>
      </c>
      <c r="H26" s="140">
        <f t="shared" si="0"/>
        <v>675805</v>
      </c>
      <c r="I26" s="84">
        <v>5000</v>
      </c>
      <c r="J26" s="282"/>
    </row>
    <row r="27" spans="1:10" s="77" customFormat="1" ht="15" customHeight="1">
      <c r="A27" s="302" t="s">
        <v>1183</v>
      </c>
      <c r="C27" s="301" t="s">
        <v>1161</v>
      </c>
      <c r="D27" s="303" t="s">
        <v>345</v>
      </c>
      <c r="E27" s="304">
        <v>42323</v>
      </c>
      <c r="F27" s="140">
        <v>5584859</v>
      </c>
      <c r="G27" s="140">
        <v>3249968</v>
      </c>
      <c r="H27" s="140">
        <f t="shared" si="0"/>
        <v>2334891</v>
      </c>
      <c r="I27" s="84">
        <v>48200</v>
      </c>
      <c r="J27" s="282"/>
    </row>
    <row r="28" spans="1:10" s="77" customFormat="1" ht="15" customHeight="1">
      <c r="A28" s="302" t="s">
        <v>1184</v>
      </c>
      <c r="C28" s="301" t="s">
        <v>1162</v>
      </c>
      <c r="D28" s="303" t="s">
        <v>346</v>
      </c>
      <c r="E28" s="304">
        <v>42415</v>
      </c>
      <c r="F28" s="140">
        <v>5431754</v>
      </c>
      <c r="G28" s="140">
        <v>4761312</v>
      </c>
      <c r="H28" s="140">
        <f t="shared" si="0"/>
        <v>670442</v>
      </c>
      <c r="I28" s="84">
        <v>24400</v>
      </c>
      <c r="J28" s="282"/>
    </row>
    <row r="29" spans="1:10" s="77" customFormat="1" ht="15.75" customHeight="1">
      <c r="A29" s="302" t="s">
        <v>1185</v>
      </c>
      <c r="C29" s="301" t="s">
        <v>670</v>
      </c>
      <c r="D29" s="303" t="s">
        <v>347</v>
      </c>
      <c r="E29" s="304">
        <v>42505</v>
      </c>
      <c r="F29" s="140">
        <v>18823551</v>
      </c>
      <c r="G29" s="140">
        <v>18460976</v>
      </c>
      <c r="H29" s="140">
        <f t="shared" si="0"/>
        <v>362575</v>
      </c>
      <c r="I29" s="84">
        <v>25200</v>
      </c>
      <c r="J29" s="282"/>
    </row>
    <row r="30" spans="1:10" s="77" customFormat="1" ht="15" customHeight="1">
      <c r="A30" s="302" t="s">
        <v>538</v>
      </c>
      <c r="C30" s="301" t="s">
        <v>658</v>
      </c>
      <c r="D30" s="303" t="s">
        <v>348</v>
      </c>
      <c r="E30" s="304">
        <v>42689</v>
      </c>
      <c r="F30" s="140">
        <v>18787448</v>
      </c>
      <c r="G30" s="140">
        <v>17227869</v>
      </c>
      <c r="H30" s="140">
        <f t="shared" si="0"/>
        <v>1559579</v>
      </c>
      <c r="I30" s="84">
        <v>336800</v>
      </c>
      <c r="J30" s="282"/>
    </row>
    <row r="31" spans="1:10" s="77" customFormat="1" ht="15" customHeight="1">
      <c r="A31" s="302" t="s">
        <v>1187</v>
      </c>
      <c r="C31" s="301" t="s">
        <v>666</v>
      </c>
      <c r="D31" s="303" t="s">
        <v>349</v>
      </c>
      <c r="E31" s="304">
        <v>42870</v>
      </c>
      <c r="F31" s="140">
        <v>15559169</v>
      </c>
      <c r="G31" s="140">
        <v>8473312</v>
      </c>
      <c r="H31" s="140">
        <f t="shared" si="0"/>
        <v>7085857</v>
      </c>
      <c r="I31" s="84">
        <v>394460</v>
      </c>
      <c r="J31" s="282"/>
    </row>
    <row r="32" spans="1:10" s="77" customFormat="1" ht="15.75" customHeight="1">
      <c r="A32" s="302" t="s">
        <v>1188</v>
      </c>
      <c r="C32" s="301" t="s">
        <v>82</v>
      </c>
      <c r="D32" s="303" t="s">
        <v>350</v>
      </c>
      <c r="E32" s="304">
        <v>42962</v>
      </c>
      <c r="F32" s="140">
        <v>10968358</v>
      </c>
      <c r="G32" s="140">
        <v>7252463</v>
      </c>
      <c r="H32" s="140">
        <f t="shared" si="0"/>
        <v>3715895</v>
      </c>
      <c r="I32" s="84">
        <v>273000</v>
      </c>
      <c r="J32" s="282"/>
    </row>
    <row r="33" spans="1:10" s="77" customFormat="1" ht="15" customHeight="1">
      <c r="A33" s="302" t="s">
        <v>539</v>
      </c>
      <c r="C33" s="301" t="s">
        <v>641</v>
      </c>
      <c r="D33" s="303" t="s">
        <v>385</v>
      </c>
      <c r="E33" s="304">
        <v>43235</v>
      </c>
      <c r="F33" s="140">
        <v>6717439</v>
      </c>
      <c r="G33" s="140">
        <v>3054521</v>
      </c>
      <c r="H33" s="140">
        <f t="shared" si="0"/>
        <v>3662918</v>
      </c>
      <c r="I33" s="84">
        <v>52800</v>
      </c>
      <c r="J33" s="282"/>
    </row>
    <row r="34" spans="1:10" s="77" customFormat="1" ht="15" customHeight="1">
      <c r="A34" s="302" t="s">
        <v>1190</v>
      </c>
      <c r="C34" s="301" t="s">
        <v>1163</v>
      </c>
      <c r="D34" s="303" t="s">
        <v>386</v>
      </c>
      <c r="E34" s="304">
        <v>43419</v>
      </c>
      <c r="F34" s="140">
        <v>7174470</v>
      </c>
      <c r="G34" s="140">
        <v>3584521</v>
      </c>
      <c r="H34" s="140">
        <f t="shared" si="0"/>
        <v>3589949</v>
      </c>
      <c r="I34" s="84">
        <v>211323</v>
      </c>
      <c r="J34" s="282"/>
    </row>
    <row r="35" spans="1:10" s="77" customFormat="1" ht="15" customHeight="1">
      <c r="A35" s="302" t="s">
        <v>1191</v>
      </c>
      <c r="C35" s="301" t="s">
        <v>82</v>
      </c>
      <c r="D35" s="303" t="s">
        <v>387</v>
      </c>
      <c r="E35" s="304">
        <v>43511</v>
      </c>
      <c r="F35" s="140">
        <v>13090498</v>
      </c>
      <c r="G35" s="140">
        <v>7668387</v>
      </c>
      <c r="H35" s="140">
        <f t="shared" si="0"/>
        <v>5422111</v>
      </c>
      <c r="I35" s="84">
        <v>367000</v>
      </c>
      <c r="J35" s="282"/>
    </row>
    <row r="36" spans="1:10" s="77" customFormat="1" ht="15" customHeight="1">
      <c r="A36" s="302" t="s">
        <v>1192</v>
      </c>
      <c r="C36" s="301" t="s">
        <v>949</v>
      </c>
      <c r="D36" s="303" t="s">
        <v>388</v>
      </c>
      <c r="E36" s="304">
        <v>43692</v>
      </c>
      <c r="F36" s="140">
        <v>18940932</v>
      </c>
      <c r="G36" s="140">
        <v>17577962</v>
      </c>
      <c r="H36" s="140">
        <f t="shared" si="0"/>
        <v>1362970</v>
      </c>
      <c r="I36" s="84">
        <v>682240</v>
      </c>
      <c r="J36" s="282"/>
    </row>
    <row r="37" spans="1:10" s="77" customFormat="1" ht="14.25" customHeight="1">
      <c r="A37" s="302" t="s">
        <v>1193</v>
      </c>
      <c r="C37" s="301" t="s">
        <v>664</v>
      </c>
      <c r="D37" s="303" t="s">
        <v>389</v>
      </c>
      <c r="E37" s="304">
        <v>43876</v>
      </c>
      <c r="F37" s="140">
        <v>9476268</v>
      </c>
      <c r="G37" s="140">
        <v>6070985</v>
      </c>
      <c r="H37" s="140">
        <f t="shared" si="0"/>
        <v>3405283</v>
      </c>
      <c r="I37" s="84">
        <v>131700</v>
      </c>
      <c r="J37" s="282"/>
    </row>
    <row r="38" spans="1:10" s="77" customFormat="1" ht="15" customHeight="1">
      <c r="A38" s="302" t="s">
        <v>1194</v>
      </c>
      <c r="C38" s="301" t="s">
        <v>666</v>
      </c>
      <c r="D38" s="303" t="s">
        <v>390</v>
      </c>
      <c r="E38" s="304">
        <v>43966</v>
      </c>
      <c r="F38" s="140">
        <v>7582183</v>
      </c>
      <c r="G38" s="140">
        <v>3438330</v>
      </c>
      <c r="H38" s="140">
        <f t="shared" si="0"/>
        <v>4143853</v>
      </c>
      <c r="I38" s="84">
        <v>174600</v>
      </c>
      <c r="J38" s="282"/>
    </row>
    <row r="39" spans="1:10" s="77" customFormat="1" ht="15" customHeight="1">
      <c r="A39" s="302" t="s">
        <v>1195</v>
      </c>
      <c r="C39" s="301" t="s">
        <v>666</v>
      </c>
      <c r="D39" s="303" t="s">
        <v>391</v>
      </c>
      <c r="E39" s="304">
        <v>44058</v>
      </c>
      <c r="F39" s="140">
        <v>17059306</v>
      </c>
      <c r="G39" s="140">
        <v>9387854</v>
      </c>
      <c r="H39" s="140">
        <f t="shared" si="0"/>
        <v>7671452</v>
      </c>
      <c r="I39" s="84">
        <v>448240</v>
      </c>
      <c r="J39" s="282"/>
    </row>
    <row r="40" spans="1:10" s="77" customFormat="1" ht="15" customHeight="1">
      <c r="A40" s="302" t="s">
        <v>1196</v>
      </c>
      <c r="C40" s="301" t="s">
        <v>661</v>
      </c>
      <c r="D40" s="303" t="s">
        <v>395</v>
      </c>
      <c r="E40" s="304">
        <v>44242</v>
      </c>
      <c r="F40" s="140">
        <v>10075573</v>
      </c>
      <c r="G40" s="140">
        <v>8166589</v>
      </c>
      <c r="H40" s="140">
        <f t="shared" si="0"/>
        <v>1908984</v>
      </c>
      <c r="I40" s="84">
        <v>420200</v>
      </c>
      <c r="J40" s="282"/>
    </row>
    <row r="41" spans="1:10" s="77" customFormat="1" ht="15" customHeight="1">
      <c r="A41" s="302" t="s">
        <v>540</v>
      </c>
      <c r="C41" s="301" t="s">
        <v>949</v>
      </c>
      <c r="D41" s="303" t="s">
        <v>396</v>
      </c>
      <c r="E41" s="304">
        <v>44331</v>
      </c>
      <c r="F41" s="140">
        <v>10066788</v>
      </c>
      <c r="G41" s="140">
        <v>4078841</v>
      </c>
      <c r="H41" s="140">
        <f t="shared" si="0"/>
        <v>5987947</v>
      </c>
      <c r="I41" s="84">
        <v>70520</v>
      </c>
      <c r="J41" s="282"/>
    </row>
    <row r="42" spans="1:10" s="77" customFormat="1" ht="15" customHeight="1">
      <c r="A42" s="302" t="s">
        <v>1198</v>
      </c>
      <c r="C42" s="301" t="s">
        <v>949</v>
      </c>
      <c r="D42" s="303" t="s">
        <v>397</v>
      </c>
      <c r="E42" s="304">
        <v>44423</v>
      </c>
      <c r="F42" s="140">
        <v>9506382</v>
      </c>
      <c r="G42" s="140">
        <v>6994367</v>
      </c>
      <c r="H42" s="140">
        <f t="shared" si="0"/>
        <v>2512015</v>
      </c>
      <c r="I42" s="84">
        <v>512800</v>
      </c>
      <c r="J42" s="282"/>
    </row>
    <row r="43" spans="1:10" s="77" customFormat="1" ht="15" customHeight="1">
      <c r="A43" s="302" t="s">
        <v>1199</v>
      </c>
      <c r="C43" s="301" t="s">
        <v>652</v>
      </c>
      <c r="D43" s="303" t="s">
        <v>398</v>
      </c>
      <c r="E43" s="304">
        <v>44515</v>
      </c>
      <c r="F43" s="140">
        <v>30632194</v>
      </c>
      <c r="G43" s="140">
        <v>15056697</v>
      </c>
      <c r="H43" s="140">
        <f t="shared" si="0"/>
        <v>15575497</v>
      </c>
      <c r="I43" s="84">
        <v>1081875</v>
      </c>
      <c r="J43" s="282"/>
    </row>
    <row r="44" spans="1:10" s="77" customFormat="1" ht="15" customHeight="1">
      <c r="A44" s="302" t="s">
        <v>1200</v>
      </c>
      <c r="C44" s="301" t="s">
        <v>670</v>
      </c>
      <c r="D44" s="303" t="s">
        <v>399</v>
      </c>
      <c r="E44" s="304">
        <v>44788</v>
      </c>
      <c r="F44" s="140">
        <v>10127790</v>
      </c>
      <c r="G44" s="140">
        <v>8146630</v>
      </c>
      <c r="H44" s="140">
        <f t="shared" si="0"/>
        <v>1981160</v>
      </c>
      <c r="I44" s="84">
        <v>278300</v>
      </c>
      <c r="J44" s="282"/>
    </row>
    <row r="45" spans="1:10" s="77" customFormat="1" ht="15" customHeight="1">
      <c r="A45" s="302" t="s">
        <v>1201</v>
      </c>
      <c r="C45" s="301" t="s">
        <v>673</v>
      </c>
      <c r="D45" s="303" t="s">
        <v>400</v>
      </c>
      <c r="E45" s="304">
        <v>44880</v>
      </c>
      <c r="F45" s="140">
        <v>7423626</v>
      </c>
      <c r="G45" s="140">
        <v>3903668</v>
      </c>
      <c r="H45" s="140">
        <f t="shared" si="0"/>
        <v>3519958</v>
      </c>
      <c r="I45" s="84">
        <v>232600</v>
      </c>
      <c r="J45" s="282"/>
    </row>
    <row r="46" spans="1:10" s="77" customFormat="1" ht="15" customHeight="1">
      <c r="A46" s="302" t="s">
        <v>541</v>
      </c>
      <c r="C46" s="301" t="s">
        <v>655</v>
      </c>
      <c r="D46" s="303" t="s">
        <v>401</v>
      </c>
      <c r="E46" s="304">
        <v>44972</v>
      </c>
      <c r="F46" s="140">
        <v>15782061</v>
      </c>
      <c r="G46" s="140">
        <v>9527449</v>
      </c>
      <c r="H46" s="140">
        <f t="shared" si="0"/>
        <v>6254612</v>
      </c>
      <c r="I46" s="84">
        <v>555100</v>
      </c>
      <c r="J46" s="282"/>
    </row>
    <row r="47" spans="1:10" s="77" customFormat="1" ht="15" customHeight="1">
      <c r="A47" s="302" t="s">
        <v>1203</v>
      </c>
      <c r="C47" s="301" t="s">
        <v>633</v>
      </c>
      <c r="D47" s="303" t="s">
        <v>402</v>
      </c>
      <c r="E47" s="304">
        <v>45153</v>
      </c>
      <c r="F47" s="140">
        <v>22659044</v>
      </c>
      <c r="G47" s="140">
        <v>19859335</v>
      </c>
      <c r="H47" s="140">
        <f t="shared" si="0"/>
        <v>2799709</v>
      </c>
      <c r="I47" s="84">
        <v>1335904</v>
      </c>
      <c r="J47" s="282"/>
    </row>
    <row r="48" spans="1:10" s="77" customFormat="1" ht="15" customHeight="1">
      <c r="A48" s="302" t="s">
        <v>1204</v>
      </c>
      <c r="C48" s="301" t="s">
        <v>658</v>
      </c>
      <c r="D48" s="303" t="s">
        <v>403</v>
      </c>
      <c r="E48" s="304">
        <v>45611</v>
      </c>
      <c r="F48" s="140">
        <v>9604162</v>
      </c>
      <c r="G48" s="140">
        <v>3366899</v>
      </c>
      <c r="H48" s="140">
        <f t="shared" si="0"/>
        <v>6237263</v>
      </c>
      <c r="I48" s="84">
        <v>179340</v>
      </c>
      <c r="J48" s="282"/>
    </row>
    <row r="49" spans="1:10" s="77" customFormat="1" ht="15" customHeight="1">
      <c r="A49" s="302" t="s">
        <v>1205</v>
      </c>
      <c r="C49" s="301" t="s">
        <v>673</v>
      </c>
      <c r="D49" s="303" t="s">
        <v>404</v>
      </c>
      <c r="E49" s="304">
        <v>45703</v>
      </c>
      <c r="F49" s="140">
        <v>9509170</v>
      </c>
      <c r="G49" s="140">
        <v>3088863</v>
      </c>
      <c r="H49" s="140">
        <f t="shared" si="0"/>
        <v>6420307</v>
      </c>
      <c r="I49" s="84">
        <v>829000</v>
      </c>
      <c r="J49" s="282"/>
    </row>
    <row r="50" spans="1:10" s="77" customFormat="1" ht="15" customHeight="1">
      <c r="A50" s="302" t="s">
        <v>1206</v>
      </c>
      <c r="C50" s="301" t="s">
        <v>650</v>
      </c>
      <c r="D50" s="303" t="s">
        <v>405</v>
      </c>
      <c r="E50" s="304">
        <v>45884</v>
      </c>
      <c r="F50" s="140">
        <v>11187207</v>
      </c>
      <c r="G50" s="140">
        <v>5814086</v>
      </c>
      <c r="H50" s="140">
        <f t="shared" si="0"/>
        <v>5373121</v>
      </c>
      <c r="I50" s="84">
        <v>928930</v>
      </c>
      <c r="J50" s="282"/>
    </row>
    <row r="51" spans="1:10" s="77" customFormat="1" ht="15" customHeight="1">
      <c r="A51" s="302" t="s">
        <v>1207</v>
      </c>
      <c r="C51" s="301" t="s">
        <v>647</v>
      </c>
      <c r="D51" s="303" t="s">
        <v>406</v>
      </c>
      <c r="E51" s="304">
        <v>46068</v>
      </c>
      <c r="F51" s="140">
        <v>12837916</v>
      </c>
      <c r="G51" s="140">
        <v>12237872</v>
      </c>
      <c r="H51" s="140">
        <f t="shared" si="0"/>
        <v>600044</v>
      </c>
      <c r="I51" s="84">
        <v>283900</v>
      </c>
      <c r="J51" s="282"/>
    </row>
    <row r="52" spans="1:10" s="77" customFormat="1" ht="15" customHeight="1">
      <c r="A52" s="302" t="s">
        <v>1208</v>
      </c>
      <c r="C52" s="305">
        <v>6.75</v>
      </c>
      <c r="D52" s="303" t="s">
        <v>407</v>
      </c>
      <c r="E52" s="304">
        <v>46249</v>
      </c>
      <c r="F52" s="140">
        <v>8810418</v>
      </c>
      <c r="G52" s="140">
        <v>5306426</v>
      </c>
      <c r="H52" s="140">
        <f t="shared" si="0"/>
        <v>3503992</v>
      </c>
      <c r="I52" s="84">
        <v>135200</v>
      </c>
      <c r="J52" s="282"/>
    </row>
    <row r="53" spans="1:10" s="77" customFormat="1" ht="14.25" customHeight="1">
      <c r="A53" s="302" t="s">
        <v>542</v>
      </c>
      <c r="C53" s="301" t="s">
        <v>638</v>
      </c>
      <c r="D53" s="303" t="s">
        <v>408</v>
      </c>
      <c r="E53" s="304">
        <v>46341</v>
      </c>
      <c r="F53" s="140">
        <v>10860177</v>
      </c>
      <c r="G53" s="140">
        <v>4525865</v>
      </c>
      <c r="H53" s="140">
        <f t="shared" si="0"/>
        <v>6334312</v>
      </c>
      <c r="I53" s="84">
        <v>149800</v>
      </c>
      <c r="J53" s="282"/>
    </row>
    <row r="54" spans="1:9" s="77" customFormat="1" ht="15" customHeight="1">
      <c r="A54" s="302" t="s">
        <v>1209</v>
      </c>
      <c r="C54" s="306" t="s">
        <v>668</v>
      </c>
      <c r="D54" s="303" t="s">
        <v>409</v>
      </c>
      <c r="E54" s="304">
        <v>46433</v>
      </c>
      <c r="F54" s="140">
        <v>9521971</v>
      </c>
      <c r="G54" s="140">
        <v>4490027</v>
      </c>
      <c r="H54" s="140">
        <f t="shared" si="0"/>
        <v>5031944</v>
      </c>
      <c r="I54" s="84">
        <v>65800</v>
      </c>
    </row>
    <row r="55" spans="1:9" s="77" customFormat="1" ht="15" customHeight="1">
      <c r="A55" s="302" t="s">
        <v>1210</v>
      </c>
      <c r="C55" s="306" t="s">
        <v>76</v>
      </c>
      <c r="D55" s="303" t="s">
        <v>410</v>
      </c>
      <c r="E55" s="304">
        <v>46614</v>
      </c>
      <c r="F55" s="140">
        <v>9196756</v>
      </c>
      <c r="G55" s="140">
        <v>5618867</v>
      </c>
      <c r="H55" s="140">
        <f t="shared" si="0"/>
        <v>3577889</v>
      </c>
      <c r="I55" s="84">
        <v>345600</v>
      </c>
    </row>
    <row r="56" spans="1:9" s="77" customFormat="1" ht="14.25" customHeight="1">
      <c r="A56" s="302" t="s">
        <v>1211</v>
      </c>
      <c r="C56" s="306" t="s">
        <v>665</v>
      </c>
      <c r="D56" s="303" t="s">
        <v>411</v>
      </c>
      <c r="E56" s="304">
        <v>46706</v>
      </c>
      <c r="F56" s="140">
        <v>22021339</v>
      </c>
      <c r="G56" s="140">
        <v>8409985</v>
      </c>
      <c r="H56" s="140">
        <f t="shared" si="0"/>
        <v>13611354</v>
      </c>
      <c r="I56" s="84">
        <v>1083600</v>
      </c>
    </row>
    <row r="57" spans="1:9" s="77" customFormat="1" ht="15" customHeight="1">
      <c r="A57" s="274" t="s">
        <v>1212</v>
      </c>
      <c r="C57" s="306" t="s">
        <v>566</v>
      </c>
      <c r="D57" s="307" t="s">
        <v>412</v>
      </c>
      <c r="E57" s="304">
        <v>46980</v>
      </c>
      <c r="F57" s="140">
        <v>11776201</v>
      </c>
      <c r="G57" s="140">
        <v>10451391</v>
      </c>
      <c r="H57" s="140">
        <f t="shared" si="0"/>
        <v>1324810</v>
      </c>
      <c r="I57" s="84">
        <v>127400</v>
      </c>
    </row>
    <row r="58" spans="1:9" s="77" customFormat="1" ht="15" customHeight="1">
      <c r="A58" s="274" t="s">
        <v>1213</v>
      </c>
      <c r="C58" s="306" t="s">
        <v>667</v>
      </c>
      <c r="D58" s="307" t="s">
        <v>413</v>
      </c>
      <c r="E58" s="304">
        <v>47072</v>
      </c>
      <c r="F58" s="140">
        <v>10947052</v>
      </c>
      <c r="G58" s="140">
        <v>9746928</v>
      </c>
      <c r="H58" s="140">
        <f>SUM(F58-G58)</f>
        <v>1200124</v>
      </c>
      <c r="I58" s="84">
        <v>124800</v>
      </c>
    </row>
    <row r="59" spans="1:10" s="77" customFormat="1" ht="15" customHeight="1">
      <c r="A59" s="274" t="s">
        <v>1214</v>
      </c>
      <c r="C59" s="306" t="s">
        <v>667</v>
      </c>
      <c r="D59" s="307" t="s">
        <v>152</v>
      </c>
      <c r="E59" s="304">
        <v>47164</v>
      </c>
      <c r="F59" s="140">
        <v>11350341</v>
      </c>
      <c r="G59" s="140">
        <v>10466545</v>
      </c>
      <c r="H59" s="140">
        <f>SUM(F59-G59)</f>
        <v>883796</v>
      </c>
      <c r="I59" s="84">
        <v>61800</v>
      </c>
      <c r="J59" s="373"/>
    </row>
    <row r="60" spans="1:9" s="77" customFormat="1" ht="15" customHeight="1">
      <c r="A60" s="274" t="s">
        <v>1215</v>
      </c>
      <c r="C60" s="306" t="s">
        <v>665</v>
      </c>
      <c r="D60" s="303" t="s">
        <v>160</v>
      </c>
      <c r="E60" s="304">
        <v>47345</v>
      </c>
      <c r="F60" s="140">
        <v>11178580</v>
      </c>
      <c r="G60" s="140">
        <v>9358583</v>
      </c>
      <c r="H60" s="140">
        <f>SUM(F60-G60)</f>
        <v>1819997</v>
      </c>
      <c r="I60" s="84">
        <v>86400</v>
      </c>
    </row>
    <row r="61" spans="1:9" s="77" customFormat="1" ht="15" customHeight="1">
      <c r="A61" s="274" t="s">
        <v>1216</v>
      </c>
      <c r="C61" s="301" t="s">
        <v>633</v>
      </c>
      <c r="D61" s="303" t="s">
        <v>1000</v>
      </c>
      <c r="E61" s="304">
        <v>47618</v>
      </c>
      <c r="F61" s="140">
        <v>17043162</v>
      </c>
      <c r="G61" s="140">
        <v>11823845</v>
      </c>
      <c r="H61" s="140">
        <f>SUM(F61-G61)</f>
        <v>5219317</v>
      </c>
      <c r="I61" s="84">
        <v>746728</v>
      </c>
    </row>
    <row r="62" spans="1:9" s="77" customFormat="1" ht="15" customHeight="1">
      <c r="A62" s="302" t="s">
        <v>164</v>
      </c>
      <c r="C62" s="306" t="s">
        <v>663</v>
      </c>
      <c r="D62" s="303" t="s">
        <v>544</v>
      </c>
      <c r="E62" s="304">
        <v>47894</v>
      </c>
      <c r="F62" s="140">
        <v>16427648</v>
      </c>
      <c r="G62" s="140">
        <v>16184648</v>
      </c>
      <c r="H62" s="140">
        <f>SUM(F62-G62)</f>
        <v>243000</v>
      </c>
      <c r="I62" s="84">
        <v>1600</v>
      </c>
    </row>
    <row r="63" spans="4:9" s="77" customFormat="1" ht="14.25" customHeight="1">
      <c r="D63" s="308"/>
      <c r="E63" s="309"/>
      <c r="F63" s="308"/>
      <c r="G63" s="308"/>
      <c r="H63" s="308"/>
      <c r="I63" s="84"/>
    </row>
    <row r="64" spans="1:9" s="77" customFormat="1" ht="15" customHeight="1">
      <c r="A64" s="279" t="s">
        <v>699</v>
      </c>
      <c r="B64" s="301"/>
      <c r="C64" s="306"/>
      <c r="D64" s="303" t="s">
        <v>859</v>
      </c>
      <c r="E64" s="310"/>
      <c r="F64" s="140">
        <f>SUM(F20:F63)</f>
        <v>499889485</v>
      </c>
      <c r="G64" s="140">
        <f>SUM(G20:G63)</f>
        <v>337561691</v>
      </c>
      <c r="H64" s="140">
        <f>SUM(H20:H63)</f>
        <v>162327794</v>
      </c>
      <c r="I64" s="84">
        <f>SUM(I20:I63)</f>
        <v>13427408</v>
      </c>
    </row>
    <row r="65" spans="1:9" s="77" customFormat="1" ht="12.75" customHeight="1">
      <c r="A65" s="279"/>
      <c r="B65" s="301"/>
      <c r="C65" s="407"/>
      <c r="D65" s="414"/>
      <c r="E65" s="311"/>
      <c r="F65" s="312"/>
      <c r="G65" s="312"/>
      <c r="H65" s="312"/>
      <c r="I65" s="84"/>
    </row>
    <row r="66" spans="1:10" s="77" customFormat="1" ht="14.25" customHeight="1">
      <c r="A66" s="138" t="s">
        <v>294</v>
      </c>
      <c r="C66" s="123"/>
      <c r="D66" s="308"/>
      <c r="E66" s="313"/>
      <c r="F66" s="140"/>
      <c r="G66" s="140"/>
      <c r="H66" s="140"/>
      <c r="I66" s="84"/>
      <c r="J66" s="282"/>
    </row>
    <row r="67" spans="1:10" s="77" customFormat="1" ht="15" customHeight="1">
      <c r="A67" s="138" t="s">
        <v>63</v>
      </c>
      <c r="B67" s="76" t="s">
        <v>70</v>
      </c>
      <c r="C67" s="301" t="s">
        <v>71</v>
      </c>
      <c r="D67" s="308"/>
      <c r="E67" s="313"/>
      <c r="F67" s="140"/>
      <c r="G67" s="140"/>
      <c r="H67" s="140"/>
      <c r="I67" s="84"/>
      <c r="J67" s="282"/>
    </row>
    <row r="68" spans="1:9" s="77" customFormat="1" ht="15" customHeight="1">
      <c r="A68" s="302" t="s">
        <v>1121</v>
      </c>
      <c r="B68" s="301" t="s">
        <v>81</v>
      </c>
      <c r="C68" s="306" t="s">
        <v>951</v>
      </c>
      <c r="D68" s="303" t="s">
        <v>510</v>
      </c>
      <c r="E68" s="304">
        <v>39097</v>
      </c>
      <c r="F68" s="140">
        <v>18804301.95372</v>
      </c>
      <c r="G68" s="140">
        <v>18804301.95372</v>
      </c>
      <c r="H68" s="140">
        <f aca="true" t="shared" si="1" ref="H68:H75">SUM(F68-G68)</f>
        <v>0</v>
      </c>
      <c r="I68" s="84">
        <v>0</v>
      </c>
    </row>
    <row r="69" spans="1:9" s="77" customFormat="1" ht="15" customHeight="1">
      <c r="A69" s="302" t="s">
        <v>1217</v>
      </c>
      <c r="B69" s="301" t="s">
        <v>81</v>
      </c>
      <c r="C69" s="306" t="s">
        <v>950</v>
      </c>
      <c r="D69" s="303" t="s">
        <v>430</v>
      </c>
      <c r="E69" s="310">
        <v>39462</v>
      </c>
      <c r="F69" s="140">
        <v>19674220.734</v>
      </c>
      <c r="G69" s="140">
        <v>19557192.734</v>
      </c>
      <c r="H69" s="140">
        <f t="shared" si="1"/>
        <v>117028</v>
      </c>
      <c r="I69" s="84">
        <v>0</v>
      </c>
    </row>
    <row r="70" spans="1:9" s="77" customFormat="1" ht="15" customHeight="1">
      <c r="A70" s="302" t="s">
        <v>528</v>
      </c>
      <c r="B70" s="301" t="s">
        <v>81</v>
      </c>
      <c r="C70" s="306" t="s">
        <v>1004</v>
      </c>
      <c r="D70" s="303" t="s">
        <v>1005</v>
      </c>
      <c r="E70" s="310">
        <v>39828</v>
      </c>
      <c r="F70" s="140">
        <v>18332760.33351</v>
      </c>
      <c r="G70" s="140">
        <v>18332760.33351</v>
      </c>
      <c r="H70" s="140">
        <f t="shared" si="1"/>
        <v>0</v>
      </c>
      <c r="I70" s="84">
        <v>0</v>
      </c>
    </row>
    <row r="71" spans="1:9" s="77" customFormat="1" ht="15" customHeight="1">
      <c r="A71" s="302" t="s">
        <v>1017</v>
      </c>
      <c r="B71" s="301" t="s">
        <v>81</v>
      </c>
      <c r="C71" s="306" t="s">
        <v>669</v>
      </c>
      <c r="D71" s="303" t="s">
        <v>867</v>
      </c>
      <c r="E71" s="310">
        <v>40193</v>
      </c>
      <c r="F71" s="140">
        <v>12721818.96162</v>
      </c>
      <c r="G71" s="140">
        <v>12721818.96162</v>
      </c>
      <c r="H71" s="140">
        <f t="shared" si="1"/>
        <v>0</v>
      </c>
      <c r="I71" s="84">
        <v>0</v>
      </c>
    </row>
    <row r="72" spans="1:9" s="77" customFormat="1" ht="15" customHeight="1">
      <c r="A72" s="302" t="s">
        <v>954</v>
      </c>
      <c r="B72" s="301" t="s">
        <v>81</v>
      </c>
      <c r="C72" s="306" t="s">
        <v>955</v>
      </c>
      <c r="D72" s="303" t="s">
        <v>1024</v>
      </c>
      <c r="E72" s="310">
        <v>40558</v>
      </c>
      <c r="F72" s="140">
        <v>11950425.4068</v>
      </c>
      <c r="G72" s="140">
        <v>11950425.4068</v>
      </c>
      <c r="H72" s="140">
        <f t="shared" si="1"/>
        <v>0</v>
      </c>
      <c r="I72" s="84">
        <v>0</v>
      </c>
    </row>
    <row r="73" spans="1:9" s="77" customFormat="1" ht="15" customHeight="1">
      <c r="A73" s="302" t="s">
        <v>225</v>
      </c>
      <c r="B73" s="301" t="s">
        <v>81</v>
      </c>
      <c r="C73" s="306" t="s">
        <v>951</v>
      </c>
      <c r="D73" s="303" t="s">
        <v>230</v>
      </c>
      <c r="E73" s="310">
        <v>40923</v>
      </c>
      <c r="F73" s="140">
        <v>6393180.40991</v>
      </c>
      <c r="G73" s="140">
        <v>6393180.40991</v>
      </c>
      <c r="H73" s="140">
        <f>SUM(F73-G73)</f>
        <v>0</v>
      </c>
      <c r="I73" s="84">
        <v>0</v>
      </c>
    </row>
    <row r="74" spans="1:9" s="77" customFormat="1" ht="15" customHeight="1">
      <c r="A74" s="302" t="s">
        <v>364</v>
      </c>
      <c r="B74" s="301" t="s">
        <v>651</v>
      </c>
      <c r="C74" s="306">
        <v>3</v>
      </c>
      <c r="D74" s="303" t="s">
        <v>1124</v>
      </c>
      <c r="E74" s="310">
        <v>41105</v>
      </c>
      <c r="F74" s="140">
        <v>24203803.13253</v>
      </c>
      <c r="G74" s="140">
        <v>24203803.13253</v>
      </c>
      <c r="H74" s="140">
        <f>SUM(F74-G74)</f>
        <v>0</v>
      </c>
      <c r="I74" s="84">
        <v>0</v>
      </c>
    </row>
    <row r="75" spans="1:9" s="77" customFormat="1" ht="15" customHeight="1">
      <c r="A75" s="302" t="s">
        <v>299</v>
      </c>
      <c r="B75" s="301" t="s">
        <v>651</v>
      </c>
      <c r="C75" s="306" t="s">
        <v>28</v>
      </c>
      <c r="D75" s="303" t="s">
        <v>300</v>
      </c>
      <c r="E75" s="310">
        <v>41470</v>
      </c>
      <c r="F75" s="140">
        <v>20596563.5786</v>
      </c>
      <c r="G75" s="140">
        <v>20596563.5786</v>
      </c>
      <c r="H75" s="140">
        <f t="shared" si="1"/>
        <v>0</v>
      </c>
      <c r="I75" s="84">
        <v>0</v>
      </c>
    </row>
    <row r="76" spans="1:9" s="77" customFormat="1" ht="14.25" customHeight="1">
      <c r="A76" s="302" t="s">
        <v>555</v>
      </c>
      <c r="B76" s="301" t="s">
        <v>81</v>
      </c>
      <c r="C76" s="306">
        <v>2</v>
      </c>
      <c r="D76" s="303" t="s">
        <v>556</v>
      </c>
      <c r="E76" s="310">
        <v>41654</v>
      </c>
      <c r="F76" s="140">
        <v>21489218.26964</v>
      </c>
      <c r="G76" s="140">
        <v>21489218.26964</v>
      </c>
      <c r="H76" s="140">
        <f>SUM(F76-G76)</f>
        <v>0</v>
      </c>
      <c r="I76" s="84">
        <v>0</v>
      </c>
    </row>
    <row r="77" spans="1:9" s="77" customFormat="1" ht="15" customHeight="1">
      <c r="A77" s="302" t="s">
        <v>1156</v>
      </c>
      <c r="B77" s="301" t="s">
        <v>660</v>
      </c>
      <c r="C77" s="306">
        <v>2</v>
      </c>
      <c r="D77" s="303" t="s">
        <v>1157</v>
      </c>
      <c r="E77" s="310">
        <v>41835</v>
      </c>
      <c r="F77" s="140">
        <v>10030637.61336</v>
      </c>
      <c r="G77" s="140">
        <v>10030637.61336</v>
      </c>
      <c r="H77" s="140">
        <f>SUM(F77-G77)</f>
        <v>0</v>
      </c>
      <c r="I77" s="84">
        <v>0</v>
      </c>
    </row>
    <row r="78" spans="1:9" s="77" customFormat="1" ht="15" customHeight="1">
      <c r="A78" s="302" t="s">
        <v>627</v>
      </c>
      <c r="B78" s="301"/>
      <c r="C78" s="306" t="s">
        <v>950</v>
      </c>
      <c r="D78" s="303" t="s">
        <v>628</v>
      </c>
      <c r="E78" s="304">
        <v>46858</v>
      </c>
      <c r="F78" s="140">
        <v>19618878.73332</v>
      </c>
      <c r="G78" s="140">
        <v>19613034.07332</v>
      </c>
      <c r="H78" s="140">
        <f>SUM(F78-G78)</f>
        <v>5844.660000000149</v>
      </c>
      <c r="I78" s="84">
        <v>0</v>
      </c>
    </row>
    <row r="79" spans="1:9" s="77" customFormat="1" ht="15" customHeight="1">
      <c r="A79" s="302" t="s">
        <v>533</v>
      </c>
      <c r="B79" s="301"/>
      <c r="C79" s="306" t="s">
        <v>1004</v>
      </c>
      <c r="D79" s="303" t="s">
        <v>863</v>
      </c>
      <c r="E79" s="304">
        <v>47223</v>
      </c>
      <c r="F79" s="140">
        <v>22422804.38328</v>
      </c>
      <c r="G79" s="140">
        <v>22279045.63328</v>
      </c>
      <c r="H79" s="140">
        <f>SUM(F79-G79)</f>
        <v>143758.75</v>
      </c>
      <c r="I79" s="84">
        <v>0</v>
      </c>
    </row>
    <row r="80" spans="1:9" s="77" customFormat="1" ht="15" customHeight="1">
      <c r="A80" s="302" t="s">
        <v>770</v>
      </c>
      <c r="B80" s="301"/>
      <c r="C80" s="321" t="s">
        <v>951</v>
      </c>
      <c r="D80" s="303" t="s">
        <v>771</v>
      </c>
      <c r="E80" s="304">
        <v>48319</v>
      </c>
      <c r="F80" s="140">
        <v>5338782.11025</v>
      </c>
      <c r="G80" s="140">
        <v>5338782.11025</v>
      </c>
      <c r="H80" s="140">
        <f>SUM(F80-G80)</f>
        <v>0</v>
      </c>
      <c r="I80" s="84">
        <v>0</v>
      </c>
    </row>
    <row r="81" spans="1:9" s="77" customFormat="1" ht="15" customHeight="1">
      <c r="A81" s="302"/>
      <c r="B81" s="301"/>
      <c r="C81" s="306"/>
      <c r="D81" s="303"/>
      <c r="E81" s="310"/>
      <c r="F81" s="140"/>
      <c r="G81" s="140"/>
      <c r="H81" s="140"/>
      <c r="I81" s="84"/>
    </row>
    <row r="82" spans="1:9" s="77" customFormat="1" ht="15" customHeight="1">
      <c r="A82" s="279" t="s">
        <v>1143</v>
      </c>
      <c r="B82" s="301"/>
      <c r="C82" s="306"/>
      <c r="D82" s="303" t="s">
        <v>859</v>
      </c>
      <c r="E82" s="310"/>
      <c r="F82" s="140">
        <f>SUM(F68:F81)</f>
        <v>211577395.62054</v>
      </c>
      <c r="G82" s="140">
        <f>SUM(G68:G81)</f>
        <v>211310764.21054</v>
      </c>
      <c r="H82" s="140">
        <f>SUM(H68:H81)</f>
        <v>266631.41000000015</v>
      </c>
      <c r="I82" s="84">
        <v>0</v>
      </c>
    </row>
    <row r="83" spans="1:9" s="77" customFormat="1" ht="15" customHeight="1">
      <c r="A83" s="279"/>
      <c r="B83" s="301"/>
      <c r="C83" s="407"/>
      <c r="D83" s="413"/>
      <c r="E83" s="310"/>
      <c r="F83" s="140"/>
      <c r="G83" s="140"/>
      <c r="H83" s="140"/>
      <c r="I83" s="84"/>
    </row>
    <row r="84" spans="1:9" s="77" customFormat="1" ht="15" customHeight="1">
      <c r="A84" s="279"/>
      <c r="B84" s="301"/>
      <c r="C84" s="407"/>
      <c r="D84" s="403"/>
      <c r="E84" s="415"/>
      <c r="F84" s="176"/>
      <c r="G84" s="176"/>
      <c r="H84" s="176"/>
      <c r="I84" s="176"/>
    </row>
    <row r="85" spans="1:9" s="77" customFormat="1" ht="15" customHeight="1">
      <c r="A85" s="279"/>
      <c r="B85" s="301"/>
      <c r="C85" s="407"/>
      <c r="D85" s="403"/>
      <c r="E85" s="415"/>
      <c r="F85" s="176"/>
      <c r="G85" s="176"/>
      <c r="H85" s="176"/>
      <c r="I85" s="176"/>
    </row>
    <row r="86" spans="1:9" s="77" customFormat="1" ht="15" customHeight="1">
      <c r="A86" s="279"/>
      <c r="B86" s="301"/>
      <c r="C86" s="407"/>
      <c r="D86" s="403"/>
      <c r="E86" s="415"/>
      <c r="F86" s="176"/>
      <c r="G86" s="176"/>
      <c r="H86" s="176"/>
      <c r="I86" s="176"/>
    </row>
    <row r="87" spans="1:9" s="77" customFormat="1" ht="15" customHeight="1">
      <c r="A87" s="279"/>
      <c r="B87" s="301"/>
      <c r="C87" s="407"/>
      <c r="D87" s="403"/>
      <c r="E87" s="415"/>
      <c r="F87" s="176"/>
      <c r="G87" s="176"/>
      <c r="H87" s="176"/>
      <c r="I87" s="176"/>
    </row>
    <row r="88" spans="1:9" s="109" customFormat="1" ht="15" customHeight="1" thickBot="1">
      <c r="A88" s="315"/>
      <c r="B88" s="316"/>
      <c r="C88" s="317"/>
      <c r="D88" s="318"/>
      <c r="E88" s="319"/>
      <c r="F88" s="320"/>
      <c r="G88" s="320"/>
      <c r="H88" s="320"/>
      <c r="I88" s="320"/>
    </row>
    <row r="89" spans="1:10" s="77" customFormat="1" ht="16.5" thickTop="1">
      <c r="A89" s="74"/>
      <c r="B89" s="75" t="s">
        <v>261</v>
      </c>
      <c r="C89" s="75"/>
      <c r="D89" s="75"/>
      <c r="E89" s="76"/>
      <c r="F89" s="76"/>
      <c r="G89" s="76"/>
      <c r="H89" s="76"/>
      <c r="I89" s="76"/>
      <c r="J89" s="74">
        <v>11</v>
      </c>
    </row>
    <row r="90" spans="1:10" s="77" customFormat="1" ht="10.5" customHeight="1" thickBot="1">
      <c r="A90" s="109"/>
      <c r="B90" s="109"/>
      <c r="C90" s="109"/>
      <c r="D90" s="109"/>
      <c r="E90" s="109"/>
      <c r="F90" s="109"/>
      <c r="G90" s="109"/>
      <c r="H90" s="109"/>
      <c r="I90" s="109"/>
      <c r="J90" s="109"/>
    </row>
    <row r="91" spans="1:10" s="77" customFormat="1" ht="15" customHeight="1" thickTop="1">
      <c r="A91" s="78"/>
      <c r="B91" s="78"/>
      <c r="C91" s="78"/>
      <c r="D91" s="79"/>
      <c r="E91" s="79"/>
      <c r="F91" s="79"/>
      <c r="G91" s="78"/>
      <c r="H91" s="78"/>
      <c r="I91" s="80"/>
      <c r="J91" s="78"/>
    </row>
    <row r="92" spans="4:10" s="77" customFormat="1" ht="15" customHeight="1">
      <c r="D92" s="292" t="s">
        <v>1006</v>
      </c>
      <c r="E92" s="81"/>
      <c r="F92" s="293" t="s">
        <v>1021</v>
      </c>
      <c r="G92" s="76"/>
      <c r="H92" s="76"/>
      <c r="I92" s="269"/>
      <c r="J92" s="282"/>
    </row>
    <row r="93" spans="1:10" s="77" customFormat="1" ht="15" customHeight="1">
      <c r="A93" s="76" t="s">
        <v>577</v>
      </c>
      <c r="B93" s="76"/>
      <c r="C93" s="76"/>
      <c r="D93" s="292" t="s">
        <v>1007</v>
      </c>
      <c r="E93" s="292" t="s">
        <v>1008</v>
      </c>
      <c r="F93" s="81"/>
      <c r="I93" s="294" t="s">
        <v>1102</v>
      </c>
      <c r="J93" s="283"/>
    </row>
    <row r="94" spans="4:10" s="77" customFormat="1" ht="15" customHeight="1">
      <c r="D94" s="292" t="s">
        <v>1077</v>
      </c>
      <c r="E94" s="81"/>
      <c r="F94" s="295" t="s">
        <v>1078</v>
      </c>
      <c r="G94" s="295" t="s">
        <v>1079</v>
      </c>
      <c r="H94" s="295" t="s">
        <v>1079</v>
      </c>
      <c r="I94" s="296" t="s">
        <v>1103</v>
      </c>
      <c r="J94" s="65"/>
    </row>
    <row r="95" spans="1:10" s="77" customFormat="1" ht="15" customHeight="1">
      <c r="A95" s="82"/>
      <c r="B95" s="82"/>
      <c r="C95" s="82"/>
      <c r="D95" s="83"/>
      <c r="E95" s="83"/>
      <c r="F95" s="297" t="s">
        <v>862</v>
      </c>
      <c r="G95" s="298" t="s">
        <v>1080</v>
      </c>
      <c r="H95" s="298" t="s">
        <v>1081</v>
      </c>
      <c r="I95" s="299"/>
      <c r="J95" s="291"/>
    </row>
    <row r="96" spans="1:10" s="77" customFormat="1" ht="14.25" customHeight="1">
      <c r="A96" s="123"/>
      <c r="B96" s="123"/>
      <c r="C96" s="123"/>
      <c r="D96" s="81"/>
      <c r="E96" s="81"/>
      <c r="F96" s="300"/>
      <c r="G96" s="292"/>
      <c r="H96" s="292"/>
      <c r="I96" s="84"/>
      <c r="J96" s="285"/>
    </row>
    <row r="97" spans="1:10" s="77" customFormat="1" ht="14.25" customHeight="1">
      <c r="A97" s="138" t="s">
        <v>69</v>
      </c>
      <c r="D97" s="81"/>
      <c r="E97" s="81"/>
      <c r="F97" s="81"/>
      <c r="G97" s="81"/>
      <c r="H97" s="81"/>
      <c r="I97" s="84"/>
      <c r="J97" s="282"/>
    </row>
    <row r="98" spans="1:10" s="77" customFormat="1" ht="15" customHeight="1">
      <c r="A98" s="138" t="s">
        <v>63</v>
      </c>
      <c r="B98" s="76" t="s">
        <v>70</v>
      </c>
      <c r="C98" s="301" t="s">
        <v>71</v>
      </c>
      <c r="D98" s="81"/>
      <c r="E98" s="81"/>
      <c r="F98" s="81"/>
      <c r="G98" s="81"/>
      <c r="H98" s="81"/>
      <c r="I98" s="84"/>
      <c r="J98" s="282"/>
    </row>
    <row r="99" spans="1:9" s="77" customFormat="1" ht="14.25" customHeight="1">
      <c r="A99" s="302" t="s">
        <v>891</v>
      </c>
      <c r="B99" s="301" t="s">
        <v>651</v>
      </c>
      <c r="C99" s="301" t="s">
        <v>670</v>
      </c>
      <c r="D99" s="303" t="s">
        <v>624</v>
      </c>
      <c r="E99" s="304">
        <v>38214</v>
      </c>
      <c r="F99" s="140">
        <v>13346467</v>
      </c>
      <c r="G99" s="140">
        <v>9215303</v>
      </c>
      <c r="H99" s="140">
        <f aca="true" t="shared" si="2" ref="H99:H124">SUM(F99-G99)</f>
        <v>4131164</v>
      </c>
      <c r="I99" s="84">
        <v>36402</v>
      </c>
    </row>
    <row r="100" spans="1:9" s="77" customFormat="1" ht="14.25" customHeight="1">
      <c r="A100" s="302" t="s">
        <v>1</v>
      </c>
      <c r="B100" s="301" t="s">
        <v>648</v>
      </c>
      <c r="C100" s="301">
        <v>6</v>
      </c>
      <c r="D100" s="303" t="s">
        <v>161</v>
      </c>
      <c r="E100" s="304">
        <v>38214</v>
      </c>
      <c r="F100" s="140">
        <v>18089806</v>
      </c>
      <c r="G100" s="140">
        <v>17211406</v>
      </c>
      <c r="H100" s="140">
        <f t="shared" si="2"/>
        <v>878400</v>
      </c>
      <c r="I100" s="84">
        <v>0</v>
      </c>
    </row>
    <row r="101" spans="1:9" s="77" customFormat="1" ht="14.25" customHeight="1">
      <c r="A101" s="302" t="s">
        <v>24</v>
      </c>
      <c r="B101" s="301" t="s">
        <v>653</v>
      </c>
      <c r="C101" s="306" t="s">
        <v>25</v>
      </c>
      <c r="D101" s="303" t="s">
        <v>26</v>
      </c>
      <c r="E101" s="310">
        <v>38230</v>
      </c>
      <c r="F101" s="140">
        <v>34541397</v>
      </c>
      <c r="G101" s="140">
        <v>34541397</v>
      </c>
      <c r="H101" s="140">
        <f t="shared" si="2"/>
        <v>0</v>
      </c>
      <c r="I101" s="84">
        <v>0</v>
      </c>
    </row>
    <row r="102" spans="1:9" s="77" customFormat="1" ht="14.25" customHeight="1">
      <c r="A102" s="302" t="s">
        <v>27</v>
      </c>
      <c r="B102" s="301" t="s">
        <v>654</v>
      </c>
      <c r="C102" s="306" t="s">
        <v>28</v>
      </c>
      <c r="D102" s="303" t="s">
        <v>29</v>
      </c>
      <c r="E102" s="310">
        <v>38260</v>
      </c>
      <c r="F102" s="140">
        <v>34655535</v>
      </c>
      <c r="G102" s="140">
        <v>34641135</v>
      </c>
      <c r="H102" s="140">
        <f t="shared" si="2"/>
        <v>14400</v>
      </c>
      <c r="I102" s="84">
        <v>0</v>
      </c>
    </row>
    <row r="103" spans="1:9" s="77" customFormat="1" ht="14.25" customHeight="1">
      <c r="A103" s="302" t="s">
        <v>1167</v>
      </c>
      <c r="B103" s="301" t="s">
        <v>657</v>
      </c>
      <c r="C103" s="306" t="s">
        <v>25</v>
      </c>
      <c r="D103" s="303" t="s">
        <v>1168</v>
      </c>
      <c r="E103" s="310">
        <v>38291</v>
      </c>
      <c r="F103" s="140">
        <v>32439549</v>
      </c>
      <c r="G103" s="140">
        <v>32434749</v>
      </c>
      <c r="H103" s="140">
        <f t="shared" si="2"/>
        <v>4800</v>
      </c>
      <c r="I103" s="84">
        <v>0</v>
      </c>
    </row>
    <row r="104" spans="1:9" s="77" customFormat="1" ht="14.25" customHeight="1">
      <c r="A104" s="302" t="s">
        <v>23</v>
      </c>
      <c r="B104" s="301" t="s">
        <v>660</v>
      </c>
      <c r="C104" s="301" t="s">
        <v>661</v>
      </c>
      <c r="D104" s="303" t="s">
        <v>415</v>
      </c>
      <c r="E104" s="304">
        <v>38306</v>
      </c>
      <c r="F104" s="140">
        <v>14373760</v>
      </c>
      <c r="G104" s="140">
        <v>14285026</v>
      </c>
      <c r="H104" s="140">
        <f t="shared" si="2"/>
        <v>88734</v>
      </c>
      <c r="I104" s="84">
        <v>33600</v>
      </c>
    </row>
    <row r="105" spans="1:9" s="77" customFormat="1" ht="14.25" customHeight="1">
      <c r="A105" s="302" t="s">
        <v>2</v>
      </c>
      <c r="B105" s="301" t="s">
        <v>656</v>
      </c>
      <c r="C105" s="301" t="s">
        <v>80</v>
      </c>
      <c r="D105" s="303" t="s">
        <v>1175</v>
      </c>
      <c r="E105" s="304">
        <v>38306</v>
      </c>
      <c r="F105" s="140">
        <v>32658145</v>
      </c>
      <c r="G105" s="140">
        <v>32576545</v>
      </c>
      <c r="H105" s="140">
        <f t="shared" si="2"/>
        <v>81600</v>
      </c>
      <c r="I105" s="84">
        <v>0</v>
      </c>
    </row>
    <row r="106" spans="1:9" s="77" customFormat="1" ht="14.25" customHeight="1">
      <c r="A106" s="302" t="s">
        <v>213</v>
      </c>
      <c r="B106" s="301" t="s">
        <v>662</v>
      </c>
      <c r="C106" s="301">
        <v>2</v>
      </c>
      <c r="D106" s="303" t="s">
        <v>217</v>
      </c>
      <c r="E106" s="304">
        <v>38321</v>
      </c>
      <c r="F106" s="140">
        <v>32871320</v>
      </c>
      <c r="G106" s="140">
        <v>32871320</v>
      </c>
      <c r="H106" s="140">
        <f t="shared" si="2"/>
        <v>0</v>
      </c>
      <c r="I106" s="84">
        <v>0</v>
      </c>
    </row>
    <row r="107" spans="1:9" s="77" customFormat="1" ht="14.25" customHeight="1">
      <c r="A107" s="302" t="s">
        <v>214</v>
      </c>
      <c r="B107" s="301" t="s">
        <v>72</v>
      </c>
      <c r="C107" s="306" t="s">
        <v>216</v>
      </c>
      <c r="D107" s="303" t="s">
        <v>977</v>
      </c>
      <c r="E107" s="304">
        <v>38352</v>
      </c>
      <c r="F107" s="140">
        <v>33203363</v>
      </c>
      <c r="G107" s="140">
        <v>33203363</v>
      </c>
      <c r="H107" s="140">
        <f t="shared" si="2"/>
        <v>0</v>
      </c>
      <c r="I107" s="84">
        <v>0</v>
      </c>
    </row>
    <row r="108" spans="1:9" s="77" customFormat="1" ht="14.25" customHeight="1">
      <c r="A108" s="302" t="s">
        <v>1178</v>
      </c>
      <c r="B108" s="301" t="s">
        <v>648</v>
      </c>
      <c r="C108" s="306" t="s">
        <v>1177</v>
      </c>
      <c r="D108" s="303" t="s">
        <v>1179</v>
      </c>
      <c r="E108" s="304">
        <v>38383</v>
      </c>
      <c r="F108" s="140">
        <v>33837124</v>
      </c>
      <c r="G108" s="140">
        <v>33837124</v>
      </c>
      <c r="H108" s="140">
        <f t="shared" si="2"/>
        <v>0</v>
      </c>
      <c r="I108" s="84">
        <v>0</v>
      </c>
    </row>
    <row r="109" spans="1:9" s="77" customFormat="1" ht="14.25" customHeight="1">
      <c r="A109" s="302" t="s">
        <v>215</v>
      </c>
      <c r="B109" s="301" t="s">
        <v>81</v>
      </c>
      <c r="C109" s="301" t="s">
        <v>658</v>
      </c>
      <c r="D109" s="303" t="s">
        <v>416</v>
      </c>
      <c r="E109" s="304">
        <v>38398</v>
      </c>
      <c r="F109" s="140">
        <v>13834754</v>
      </c>
      <c r="G109" s="140">
        <v>12676777</v>
      </c>
      <c r="H109" s="140">
        <f t="shared" si="2"/>
        <v>1157977</v>
      </c>
      <c r="I109" s="84">
        <v>67390</v>
      </c>
    </row>
    <row r="110" spans="1:9" s="77" customFormat="1" ht="14.25" customHeight="1">
      <c r="A110" s="302" t="s">
        <v>233</v>
      </c>
      <c r="B110" s="301" t="s">
        <v>656</v>
      </c>
      <c r="C110" s="306" t="s">
        <v>234</v>
      </c>
      <c r="D110" s="303" t="s">
        <v>235</v>
      </c>
      <c r="E110" s="304">
        <v>38411</v>
      </c>
      <c r="F110" s="140">
        <v>35331909</v>
      </c>
      <c r="G110" s="140">
        <v>35331909</v>
      </c>
      <c r="H110" s="140">
        <f t="shared" si="2"/>
        <v>0</v>
      </c>
      <c r="I110" s="84">
        <v>0</v>
      </c>
    </row>
    <row r="111" spans="1:9" s="77" customFormat="1" ht="14.25" customHeight="1">
      <c r="A111" s="302" t="s">
        <v>1057</v>
      </c>
      <c r="B111" s="301" t="s">
        <v>78</v>
      </c>
      <c r="C111" s="306" t="s">
        <v>1177</v>
      </c>
      <c r="D111" s="303" t="s">
        <v>1058</v>
      </c>
      <c r="E111" s="304">
        <v>38442</v>
      </c>
      <c r="F111" s="140">
        <v>35211162</v>
      </c>
      <c r="G111" s="140">
        <v>35206362</v>
      </c>
      <c r="H111" s="140">
        <f t="shared" si="2"/>
        <v>4800</v>
      </c>
      <c r="I111" s="84">
        <v>0</v>
      </c>
    </row>
    <row r="112" spans="1:9" s="77" customFormat="1" ht="14.25" customHeight="1">
      <c r="A112" s="302" t="s">
        <v>487</v>
      </c>
      <c r="B112" s="301" t="s">
        <v>565</v>
      </c>
      <c r="C112" s="306" t="s">
        <v>1177</v>
      </c>
      <c r="D112" s="303" t="s">
        <v>488</v>
      </c>
      <c r="E112" s="304">
        <v>38472</v>
      </c>
      <c r="F112" s="140">
        <v>34295459</v>
      </c>
      <c r="G112" s="140">
        <v>34295459</v>
      </c>
      <c r="H112" s="140">
        <f t="shared" si="2"/>
        <v>0</v>
      </c>
      <c r="I112" s="84">
        <v>0</v>
      </c>
    </row>
    <row r="113" spans="1:9" s="77" customFormat="1" ht="14.25" customHeight="1">
      <c r="A113" s="302" t="s">
        <v>888</v>
      </c>
      <c r="B113" s="301" t="s">
        <v>640</v>
      </c>
      <c r="C113" s="301" t="s">
        <v>638</v>
      </c>
      <c r="D113" s="303" t="s">
        <v>417</v>
      </c>
      <c r="E113" s="304">
        <v>38487</v>
      </c>
      <c r="F113" s="140">
        <v>14739504</v>
      </c>
      <c r="G113" s="140">
        <v>14739104</v>
      </c>
      <c r="H113" s="140">
        <f t="shared" si="2"/>
        <v>400</v>
      </c>
      <c r="I113" s="84">
        <v>0</v>
      </c>
    </row>
    <row r="114" spans="1:9" s="77" customFormat="1" ht="14.25" customHeight="1">
      <c r="A114" s="302" t="s">
        <v>3</v>
      </c>
      <c r="B114" s="301" t="s">
        <v>75</v>
      </c>
      <c r="C114" s="306" t="s">
        <v>644</v>
      </c>
      <c r="D114" s="303" t="s">
        <v>1001</v>
      </c>
      <c r="E114" s="304">
        <v>38487</v>
      </c>
      <c r="F114" s="140">
        <v>28562370</v>
      </c>
      <c r="G114" s="140">
        <v>28159640</v>
      </c>
      <c r="H114" s="140">
        <f t="shared" si="2"/>
        <v>402730</v>
      </c>
      <c r="I114" s="84">
        <v>10600</v>
      </c>
    </row>
    <row r="115" spans="1:9" s="77" customFormat="1" ht="14.25" customHeight="1">
      <c r="A115" s="302" t="s">
        <v>227</v>
      </c>
      <c r="B115" s="301" t="s">
        <v>568</v>
      </c>
      <c r="C115" s="306" t="s">
        <v>119</v>
      </c>
      <c r="D115" s="303" t="s">
        <v>205</v>
      </c>
      <c r="E115" s="310">
        <v>38503</v>
      </c>
      <c r="F115" s="140">
        <v>31020836</v>
      </c>
      <c r="G115" s="140">
        <v>31020836</v>
      </c>
      <c r="H115" s="140">
        <f t="shared" si="2"/>
        <v>0</v>
      </c>
      <c r="I115" s="84">
        <v>0</v>
      </c>
    </row>
    <row r="116" spans="1:9" s="77" customFormat="1" ht="14.25" customHeight="1">
      <c r="A116" s="302" t="s">
        <v>226</v>
      </c>
      <c r="B116" s="301" t="s">
        <v>637</v>
      </c>
      <c r="C116" s="306" t="s">
        <v>483</v>
      </c>
      <c r="D116" s="303" t="s">
        <v>228</v>
      </c>
      <c r="E116" s="310">
        <v>38533</v>
      </c>
      <c r="F116" s="140">
        <v>31701455</v>
      </c>
      <c r="G116" s="140">
        <v>31701455</v>
      </c>
      <c r="H116" s="140">
        <f t="shared" si="2"/>
        <v>0</v>
      </c>
      <c r="I116" s="84">
        <v>0</v>
      </c>
    </row>
    <row r="117" spans="1:9" s="77" customFormat="1" ht="14.25" customHeight="1">
      <c r="A117" s="302" t="s">
        <v>107</v>
      </c>
      <c r="B117" s="301" t="s">
        <v>643</v>
      </c>
      <c r="C117" s="306" t="s">
        <v>234</v>
      </c>
      <c r="D117" s="303" t="s">
        <v>108</v>
      </c>
      <c r="E117" s="310">
        <v>38564</v>
      </c>
      <c r="F117" s="140">
        <v>29997026</v>
      </c>
      <c r="G117" s="140">
        <v>29997026</v>
      </c>
      <c r="H117" s="140">
        <f t="shared" si="2"/>
        <v>0</v>
      </c>
      <c r="I117" s="84">
        <v>0</v>
      </c>
    </row>
    <row r="118" spans="1:9" s="77" customFormat="1" ht="14.25" customHeight="1">
      <c r="A118" s="302" t="s">
        <v>120</v>
      </c>
      <c r="B118" s="301" t="s">
        <v>651</v>
      </c>
      <c r="C118" s="301" t="s">
        <v>638</v>
      </c>
      <c r="D118" s="303" t="s">
        <v>418</v>
      </c>
      <c r="E118" s="304">
        <v>38579</v>
      </c>
      <c r="F118" s="140">
        <v>15002580</v>
      </c>
      <c r="G118" s="140">
        <v>15002180</v>
      </c>
      <c r="H118" s="140">
        <f t="shared" si="2"/>
        <v>400</v>
      </c>
      <c r="I118" s="84">
        <v>0</v>
      </c>
    </row>
    <row r="119" spans="1:9" s="77" customFormat="1" ht="14.25" customHeight="1">
      <c r="A119" s="302" t="s">
        <v>176</v>
      </c>
      <c r="B119" s="301" t="s">
        <v>646</v>
      </c>
      <c r="C119" s="321" t="s">
        <v>682</v>
      </c>
      <c r="D119" s="303" t="s">
        <v>182</v>
      </c>
      <c r="E119" s="310">
        <v>38595</v>
      </c>
      <c r="F119" s="140">
        <v>30592178</v>
      </c>
      <c r="G119" s="140">
        <v>30592178</v>
      </c>
      <c r="H119" s="140">
        <f t="shared" si="2"/>
        <v>0</v>
      </c>
      <c r="I119" s="84">
        <v>0</v>
      </c>
    </row>
    <row r="120" spans="1:9" s="77" customFormat="1" ht="14.25" customHeight="1">
      <c r="A120" s="302" t="s">
        <v>219</v>
      </c>
      <c r="B120" s="301" t="s">
        <v>649</v>
      </c>
      <c r="C120" s="321" t="s">
        <v>1177</v>
      </c>
      <c r="D120" s="303" t="s">
        <v>220</v>
      </c>
      <c r="E120" s="310">
        <v>38625</v>
      </c>
      <c r="F120" s="140">
        <v>31538969</v>
      </c>
      <c r="G120" s="140">
        <v>31538969</v>
      </c>
      <c r="H120" s="140">
        <f t="shared" si="2"/>
        <v>0</v>
      </c>
      <c r="I120" s="84">
        <v>0</v>
      </c>
    </row>
    <row r="121" spans="1:9" s="77" customFormat="1" ht="14.25" customHeight="1">
      <c r="A121" s="302" t="s">
        <v>827</v>
      </c>
      <c r="B121" s="301" t="s">
        <v>653</v>
      </c>
      <c r="C121" s="321" t="s">
        <v>1177</v>
      </c>
      <c r="D121" s="303" t="s">
        <v>828</v>
      </c>
      <c r="E121" s="310">
        <v>38656</v>
      </c>
      <c r="F121" s="140">
        <v>32368420</v>
      </c>
      <c r="G121" s="140">
        <v>32368420</v>
      </c>
      <c r="H121" s="140">
        <f t="shared" si="2"/>
        <v>0</v>
      </c>
      <c r="I121" s="84">
        <v>0</v>
      </c>
    </row>
    <row r="122" spans="1:9" s="77" customFormat="1" ht="14.25" customHeight="1">
      <c r="A122" s="302" t="s">
        <v>175</v>
      </c>
      <c r="B122" s="301" t="s">
        <v>660</v>
      </c>
      <c r="C122" s="301" t="s">
        <v>80</v>
      </c>
      <c r="D122" s="303" t="s">
        <v>419</v>
      </c>
      <c r="E122" s="304">
        <v>38671</v>
      </c>
      <c r="F122" s="140">
        <v>15209920</v>
      </c>
      <c r="G122" s="140">
        <v>14073321</v>
      </c>
      <c r="H122" s="140">
        <f t="shared" si="2"/>
        <v>1136599</v>
      </c>
      <c r="I122" s="84">
        <v>11200</v>
      </c>
    </row>
    <row r="123" spans="1:9" s="77" customFormat="1" ht="14.25" customHeight="1">
      <c r="A123" s="302" t="s">
        <v>4</v>
      </c>
      <c r="B123" s="301" t="s">
        <v>634</v>
      </c>
      <c r="C123" s="306" t="s">
        <v>74</v>
      </c>
      <c r="D123" s="303" t="s">
        <v>543</v>
      </c>
      <c r="E123" s="304">
        <v>38671</v>
      </c>
      <c r="F123" s="140">
        <v>28062797</v>
      </c>
      <c r="G123" s="140">
        <v>27290797</v>
      </c>
      <c r="H123" s="140">
        <f t="shared" si="2"/>
        <v>772000</v>
      </c>
      <c r="I123" s="84">
        <v>800</v>
      </c>
    </row>
    <row r="124" spans="1:9" s="77" customFormat="1" ht="14.25" customHeight="1">
      <c r="A124" s="274" t="s">
        <v>266</v>
      </c>
      <c r="B124" s="301" t="s">
        <v>654</v>
      </c>
      <c r="C124" s="306" t="s">
        <v>28</v>
      </c>
      <c r="D124" s="303" t="s">
        <v>267</v>
      </c>
      <c r="E124" s="304">
        <v>38686</v>
      </c>
      <c r="F124" s="140">
        <v>32203806</v>
      </c>
      <c r="G124" s="140">
        <v>32203806</v>
      </c>
      <c r="H124" s="140">
        <f t="shared" si="2"/>
        <v>0</v>
      </c>
      <c r="I124" s="84">
        <v>0</v>
      </c>
    </row>
    <row r="125" spans="1:9" s="77" customFormat="1" ht="14.25" customHeight="1">
      <c r="A125" s="302" t="s">
        <v>268</v>
      </c>
      <c r="B125" s="301" t="s">
        <v>657</v>
      </c>
      <c r="C125" s="306" t="s">
        <v>28</v>
      </c>
      <c r="D125" s="303" t="s">
        <v>269</v>
      </c>
      <c r="E125" s="304">
        <v>38717</v>
      </c>
      <c r="F125" s="140">
        <v>33996270</v>
      </c>
      <c r="G125" s="140">
        <v>33996270</v>
      </c>
      <c r="H125" s="140">
        <f aca="true" t="shared" si="3" ref="H125:H160">SUM(F125-G125)</f>
        <v>0</v>
      </c>
      <c r="I125" s="84">
        <v>0</v>
      </c>
    </row>
    <row r="126" spans="1:9" s="77" customFormat="1" ht="14.25" customHeight="1">
      <c r="A126" s="302" t="s">
        <v>742</v>
      </c>
      <c r="B126" s="301" t="s">
        <v>565</v>
      </c>
      <c r="C126" s="306" t="s">
        <v>28</v>
      </c>
      <c r="D126" s="303" t="s">
        <v>743</v>
      </c>
      <c r="E126" s="304">
        <v>38748</v>
      </c>
      <c r="F126" s="140">
        <v>32533188</v>
      </c>
      <c r="G126" s="140">
        <v>32533188</v>
      </c>
      <c r="H126" s="140">
        <f t="shared" si="3"/>
        <v>0</v>
      </c>
      <c r="I126" s="84">
        <v>0</v>
      </c>
    </row>
    <row r="127" spans="1:9" s="77" customFormat="1" ht="14.25" customHeight="1">
      <c r="A127" s="274" t="s">
        <v>265</v>
      </c>
      <c r="B127" s="301" t="s">
        <v>81</v>
      </c>
      <c r="C127" s="301" t="s">
        <v>659</v>
      </c>
      <c r="D127" s="303" t="s">
        <v>420</v>
      </c>
      <c r="E127" s="304">
        <v>38763</v>
      </c>
      <c r="F127" s="140">
        <v>15513587</v>
      </c>
      <c r="G127" s="140">
        <v>15508467</v>
      </c>
      <c r="H127" s="140">
        <f t="shared" si="3"/>
        <v>5120</v>
      </c>
      <c r="I127" s="84">
        <v>0</v>
      </c>
    </row>
    <row r="128" spans="1:9" s="77" customFormat="1" ht="14.25" customHeight="1">
      <c r="A128" s="302" t="s">
        <v>842</v>
      </c>
      <c r="B128" s="301" t="s">
        <v>568</v>
      </c>
      <c r="C128" s="306" t="s">
        <v>1177</v>
      </c>
      <c r="D128" s="303" t="s">
        <v>843</v>
      </c>
      <c r="E128" s="304">
        <v>38776</v>
      </c>
      <c r="F128" s="140">
        <v>34001950</v>
      </c>
      <c r="G128" s="140">
        <v>34001950</v>
      </c>
      <c r="H128" s="140">
        <f t="shared" si="3"/>
        <v>0</v>
      </c>
      <c r="I128" s="84">
        <v>0</v>
      </c>
    </row>
    <row r="129" spans="1:9" s="77" customFormat="1" ht="14.25" customHeight="1">
      <c r="A129" s="302" t="s">
        <v>844</v>
      </c>
      <c r="B129" s="301" t="s">
        <v>637</v>
      </c>
      <c r="C129" s="306" t="s">
        <v>234</v>
      </c>
      <c r="D129" s="303" t="s">
        <v>845</v>
      </c>
      <c r="E129" s="304">
        <v>38807</v>
      </c>
      <c r="F129" s="140">
        <v>34338606</v>
      </c>
      <c r="G129" s="140">
        <v>34338606</v>
      </c>
      <c r="H129" s="140">
        <f t="shared" si="3"/>
        <v>0</v>
      </c>
      <c r="I129" s="84">
        <v>0</v>
      </c>
    </row>
    <row r="130" spans="1:9" s="77" customFormat="1" ht="14.25" customHeight="1">
      <c r="A130" s="302" t="s">
        <v>718</v>
      </c>
      <c r="B130" s="301" t="s">
        <v>643</v>
      </c>
      <c r="C130" s="139" t="s">
        <v>1122</v>
      </c>
      <c r="D130" s="303" t="s">
        <v>719</v>
      </c>
      <c r="E130" s="304">
        <v>38837</v>
      </c>
      <c r="F130" s="140">
        <v>34334801</v>
      </c>
      <c r="G130" s="140">
        <v>34334801</v>
      </c>
      <c r="H130" s="140">
        <f>SUM(F130-G130)</f>
        <v>0</v>
      </c>
      <c r="I130" s="84">
        <v>0</v>
      </c>
    </row>
    <row r="131" spans="1:9" s="77" customFormat="1" ht="14.25" customHeight="1">
      <c r="A131" s="302" t="s">
        <v>720</v>
      </c>
      <c r="B131" s="301" t="s">
        <v>640</v>
      </c>
      <c r="C131" s="301" t="s">
        <v>650</v>
      </c>
      <c r="D131" s="303" t="s">
        <v>421</v>
      </c>
      <c r="E131" s="310">
        <v>38852</v>
      </c>
      <c r="F131" s="140">
        <v>16015475</v>
      </c>
      <c r="G131" s="140">
        <v>14947830</v>
      </c>
      <c r="H131" s="140">
        <f t="shared" si="3"/>
        <v>1067645</v>
      </c>
      <c r="I131" s="84">
        <v>0</v>
      </c>
    </row>
    <row r="132" spans="1:9" s="77" customFormat="1" ht="14.25" customHeight="1">
      <c r="A132" s="302" t="s">
        <v>232</v>
      </c>
      <c r="B132" s="301" t="s">
        <v>75</v>
      </c>
      <c r="C132" s="321" t="s">
        <v>745</v>
      </c>
      <c r="D132" s="303" t="s">
        <v>123</v>
      </c>
      <c r="E132" s="310">
        <v>38852</v>
      </c>
      <c r="F132" s="140">
        <v>27797852</v>
      </c>
      <c r="G132" s="140">
        <v>27797852</v>
      </c>
      <c r="H132" s="140">
        <f t="shared" si="3"/>
        <v>0</v>
      </c>
      <c r="I132" s="84">
        <v>0</v>
      </c>
    </row>
    <row r="133" spans="1:9" s="77" customFormat="1" ht="14.25" customHeight="1">
      <c r="A133" s="302" t="s">
        <v>366</v>
      </c>
      <c r="B133" s="301" t="s">
        <v>648</v>
      </c>
      <c r="C133" s="321" t="s">
        <v>682</v>
      </c>
      <c r="D133" s="303" t="s">
        <v>683</v>
      </c>
      <c r="E133" s="310">
        <v>38852</v>
      </c>
      <c r="F133" s="140">
        <v>22391759</v>
      </c>
      <c r="G133" s="140">
        <v>22391759</v>
      </c>
      <c r="H133" s="140">
        <f t="shared" si="3"/>
        <v>0</v>
      </c>
      <c r="I133" s="84">
        <v>0</v>
      </c>
    </row>
    <row r="134" spans="1:9" s="77" customFormat="1" ht="14.25" customHeight="1">
      <c r="A134" s="302" t="s">
        <v>902</v>
      </c>
      <c r="B134" s="301" t="s">
        <v>646</v>
      </c>
      <c r="C134" s="139" t="s">
        <v>897</v>
      </c>
      <c r="D134" s="303" t="s">
        <v>903</v>
      </c>
      <c r="E134" s="310">
        <v>38868</v>
      </c>
      <c r="F134" s="140">
        <v>31307947</v>
      </c>
      <c r="G134" s="140">
        <v>31307947</v>
      </c>
      <c r="H134" s="140">
        <f>SUM(F134-G134)</f>
        <v>0</v>
      </c>
      <c r="I134" s="84">
        <v>0</v>
      </c>
    </row>
    <row r="135" spans="1:9" s="77" customFormat="1" ht="14.25" customHeight="1">
      <c r="A135" s="302" t="s">
        <v>904</v>
      </c>
      <c r="B135" s="301" t="s">
        <v>649</v>
      </c>
      <c r="C135" s="139" t="s">
        <v>899</v>
      </c>
      <c r="D135" s="303" t="s">
        <v>905</v>
      </c>
      <c r="E135" s="310">
        <v>38898</v>
      </c>
      <c r="F135" s="140">
        <v>32587733</v>
      </c>
      <c r="G135" s="140">
        <v>32587733</v>
      </c>
      <c r="H135" s="140">
        <f>SUM(F135-G135)</f>
        <v>0</v>
      </c>
      <c r="I135" s="84">
        <v>0</v>
      </c>
    </row>
    <row r="136" spans="1:9" s="77" customFormat="1" ht="14.25" customHeight="1">
      <c r="A136" s="302" t="s">
        <v>367</v>
      </c>
      <c r="B136" s="301" t="s">
        <v>651</v>
      </c>
      <c r="C136" s="301" t="s">
        <v>635</v>
      </c>
      <c r="D136" s="303" t="s">
        <v>422</v>
      </c>
      <c r="E136" s="310">
        <v>38913</v>
      </c>
      <c r="F136" s="140">
        <v>22740446</v>
      </c>
      <c r="G136" s="140">
        <v>22513446</v>
      </c>
      <c r="H136" s="140">
        <f t="shared" si="3"/>
        <v>227000</v>
      </c>
      <c r="I136" s="84">
        <v>0</v>
      </c>
    </row>
    <row r="137" spans="1:9" s="77" customFormat="1" ht="14.25" customHeight="1">
      <c r="A137" s="302" t="s">
        <v>248</v>
      </c>
      <c r="B137" s="301" t="s">
        <v>656</v>
      </c>
      <c r="C137" s="321" t="s">
        <v>249</v>
      </c>
      <c r="D137" s="303" t="s">
        <v>252</v>
      </c>
      <c r="E137" s="310">
        <v>38944</v>
      </c>
      <c r="F137" s="140">
        <v>27909346</v>
      </c>
      <c r="G137" s="140">
        <v>27824346</v>
      </c>
      <c r="H137" s="140">
        <f t="shared" si="3"/>
        <v>85000</v>
      </c>
      <c r="I137" s="84">
        <v>3000</v>
      </c>
    </row>
    <row r="138" spans="1:9" s="77" customFormat="1" ht="14.25" customHeight="1">
      <c r="A138" s="302" t="s">
        <v>1101</v>
      </c>
      <c r="B138" s="301" t="s">
        <v>660</v>
      </c>
      <c r="C138" s="301" t="s">
        <v>638</v>
      </c>
      <c r="D138" s="303" t="s">
        <v>423</v>
      </c>
      <c r="E138" s="310">
        <v>39005</v>
      </c>
      <c r="F138" s="140">
        <v>22459675</v>
      </c>
      <c r="G138" s="140">
        <v>22395675</v>
      </c>
      <c r="H138" s="140">
        <f t="shared" si="3"/>
        <v>64000</v>
      </c>
      <c r="I138" s="84">
        <v>0</v>
      </c>
    </row>
    <row r="139" spans="1:9" s="77" customFormat="1" ht="14.25" customHeight="1">
      <c r="A139" s="302" t="s">
        <v>1022</v>
      </c>
      <c r="B139" s="301" t="s">
        <v>634</v>
      </c>
      <c r="C139" s="306" t="s">
        <v>955</v>
      </c>
      <c r="D139" s="303" t="s">
        <v>1023</v>
      </c>
      <c r="E139" s="310">
        <v>39036</v>
      </c>
      <c r="F139" s="140">
        <v>35380129</v>
      </c>
      <c r="G139" s="140">
        <v>34678696</v>
      </c>
      <c r="H139" s="140">
        <f t="shared" si="3"/>
        <v>701433</v>
      </c>
      <c r="I139" s="84">
        <v>14600</v>
      </c>
    </row>
    <row r="140" spans="1:9" s="77" customFormat="1" ht="14.25" customHeight="1">
      <c r="A140" s="302" t="s">
        <v>981</v>
      </c>
      <c r="B140" s="301" t="s">
        <v>78</v>
      </c>
      <c r="C140" s="321" t="s">
        <v>369</v>
      </c>
      <c r="D140" s="303" t="s">
        <v>980</v>
      </c>
      <c r="E140" s="310">
        <v>39036</v>
      </c>
      <c r="F140" s="140">
        <v>26535905</v>
      </c>
      <c r="G140" s="140">
        <v>26535225</v>
      </c>
      <c r="H140" s="140">
        <f t="shared" si="3"/>
        <v>680</v>
      </c>
      <c r="I140" s="84">
        <v>0</v>
      </c>
    </row>
    <row r="141" spans="1:9" s="77" customFormat="1" ht="14.25" customHeight="1">
      <c r="A141" s="302" t="s">
        <v>982</v>
      </c>
      <c r="B141" s="301" t="s">
        <v>640</v>
      </c>
      <c r="C141" s="301" t="s">
        <v>633</v>
      </c>
      <c r="D141" s="303" t="s">
        <v>424</v>
      </c>
      <c r="E141" s="310">
        <v>39128</v>
      </c>
      <c r="F141" s="140">
        <v>13103678</v>
      </c>
      <c r="G141" s="140">
        <v>12811974</v>
      </c>
      <c r="H141" s="140">
        <f t="shared" si="3"/>
        <v>291704</v>
      </c>
      <c r="I141" s="84">
        <v>0</v>
      </c>
    </row>
    <row r="142" spans="1:9" s="77" customFormat="1" ht="14.25" customHeight="1">
      <c r="A142" s="302" t="s">
        <v>736</v>
      </c>
      <c r="B142" s="301" t="s">
        <v>656</v>
      </c>
      <c r="C142" s="321" t="s">
        <v>1122</v>
      </c>
      <c r="D142" s="303" t="s">
        <v>737</v>
      </c>
      <c r="E142" s="310">
        <v>39128</v>
      </c>
      <c r="F142" s="140">
        <v>25469287</v>
      </c>
      <c r="G142" s="140">
        <v>25469287</v>
      </c>
      <c r="H142" s="140">
        <f t="shared" si="3"/>
        <v>0</v>
      </c>
      <c r="I142" s="84">
        <v>0</v>
      </c>
    </row>
    <row r="143" spans="1:9" s="77" customFormat="1" ht="14.25" customHeight="1">
      <c r="A143" s="302" t="s">
        <v>301</v>
      </c>
      <c r="B143" s="301" t="s">
        <v>651</v>
      </c>
      <c r="C143" s="306" t="s">
        <v>668</v>
      </c>
      <c r="D143" s="303" t="s">
        <v>425</v>
      </c>
      <c r="E143" s="310">
        <v>39217</v>
      </c>
      <c r="F143" s="140">
        <v>13958186</v>
      </c>
      <c r="G143" s="140">
        <v>12949921</v>
      </c>
      <c r="H143" s="140">
        <f t="shared" si="3"/>
        <v>1008265</v>
      </c>
      <c r="I143" s="84">
        <v>1000</v>
      </c>
    </row>
    <row r="144" spans="1:9" s="77" customFormat="1" ht="14.25" customHeight="1">
      <c r="A144" s="302" t="s">
        <v>360</v>
      </c>
      <c r="B144" s="301" t="s">
        <v>75</v>
      </c>
      <c r="C144" s="306" t="s">
        <v>362</v>
      </c>
      <c r="D144" s="303" t="s">
        <v>363</v>
      </c>
      <c r="E144" s="310">
        <v>39217</v>
      </c>
      <c r="F144" s="140">
        <v>24351431</v>
      </c>
      <c r="G144" s="140">
        <v>24351431</v>
      </c>
      <c r="H144" s="140">
        <f t="shared" si="3"/>
        <v>0</v>
      </c>
      <c r="I144" s="84">
        <v>0</v>
      </c>
    </row>
    <row r="145" spans="1:9" s="77" customFormat="1" ht="14.25" customHeight="1">
      <c r="A145" s="302" t="s">
        <v>500</v>
      </c>
      <c r="B145" s="301" t="s">
        <v>78</v>
      </c>
      <c r="C145" s="306" t="s">
        <v>179</v>
      </c>
      <c r="D145" s="303" t="s">
        <v>504</v>
      </c>
      <c r="E145" s="310">
        <v>39217</v>
      </c>
      <c r="F145" s="140">
        <v>27564268</v>
      </c>
      <c r="G145" s="140">
        <v>27564268</v>
      </c>
      <c r="H145" s="140">
        <f>SUM(F145-G145)</f>
        <v>0</v>
      </c>
      <c r="I145" s="84">
        <v>0</v>
      </c>
    </row>
    <row r="146" spans="1:9" s="77" customFormat="1" ht="12.75" customHeight="1">
      <c r="A146" s="274" t="s">
        <v>361</v>
      </c>
      <c r="B146" s="301" t="s">
        <v>660</v>
      </c>
      <c r="C146" s="306" t="s">
        <v>665</v>
      </c>
      <c r="D146" s="303" t="s">
        <v>426</v>
      </c>
      <c r="E146" s="310">
        <v>39309</v>
      </c>
      <c r="F146" s="140">
        <v>25636803</v>
      </c>
      <c r="G146" s="140">
        <v>24324252</v>
      </c>
      <c r="H146" s="140">
        <f t="shared" si="3"/>
        <v>1312551</v>
      </c>
      <c r="I146" s="84">
        <v>46600</v>
      </c>
    </row>
    <row r="147" spans="1:9" s="77" customFormat="1" ht="12.75" customHeight="1">
      <c r="A147" s="302" t="s">
        <v>114</v>
      </c>
      <c r="B147" s="301" t="s">
        <v>634</v>
      </c>
      <c r="C147" s="306" t="s">
        <v>357</v>
      </c>
      <c r="D147" s="303" t="s">
        <v>446</v>
      </c>
      <c r="E147" s="310">
        <v>39309</v>
      </c>
      <c r="F147" s="140">
        <v>25410844</v>
      </c>
      <c r="G147" s="140">
        <v>25409344</v>
      </c>
      <c r="H147" s="140">
        <f t="shared" si="3"/>
        <v>1500</v>
      </c>
      <c r="I147" s="84">
        <v>0</v>
      </c>
    </row>
    <row r="148" spans="1:9" s="77" customFormat="1" ht="12.75" customHeight="1">
      <c r="A148" s="302" t="s">
        <v>90</v>
      </c>
      <c r="B148" s="301" t="s">
        <v>648</v>
      </c>
      <c r="C148" s="306" t="s">
        <v>165</v>
      </c>
      <c r="D148" s="303" t="s">
        <v>91</v>
      </c>
      <c r="E148" s="310">
        <v>39401</v>
      </c>
      <c r="F148" s="140">
        <v>23311319</v>
      </c>
      <c r="G148" s="140">
        <v>23093743</v>
      </c>
      <c r="H148" s="140">
        <f t="shared" si="3"/>
        <v>217576</v>
      </c>
      <c r="I148" s="84">
        <v>0</v>
      </c>
    </row>
    <row r="149" spans="1:9" s="77" customFormat="1" ht="14.25" customHeight="1">
      <c r="A149" s="274" t="s">
        <v>447</v>
      </c>
      <c r="B149" s="301" t="s">
        <v>640</v>
      </c>
      <c r="C149" s="306" t="s">
        <v>566</v>
      </c>
      <c r="D149" s="303" t="s">
        <v>427</v>
      </c>
      <c r="E149" s="310">
        <v>39493</v>
      </c>
      <c r="F149" s="140">
        <v>13583412</v>
      </c>
      <c r="G149" s="140">
        <v>13284997</v>
      </c>
      <c r="H149" s="140">
        <f t="shared" si="3"/>
        <v>298415</v>
      </c>
      <c r="I149" s="84">
        <v>19982</v>
      </c>
    </row>
    <row r="150" spans="1:9" s="77" customFormat="1" ht="14.25" customHeight="1">
      <c r="A150" s="302" t="s">
        <v>94</v>
      </c>
      <c r="B150" s="301" t="s">
        <v>75</v>
      </c>
      <c r="C150" s="306">
        <v>3</v>
      </c>
      <c r="D150" s="303" t="s">
        <v>95</v>
      </c>
      <c r="E150" s="310">
        <v>39493</v>
      </c>
      <c r="F150" s="140">
        <v>27489260</v>
      </c>
      <c r="G150" s="140">
        <v>27486460</v>
      </c>
      <c r="H150" s="140">
        <f t="shared" si="3"/>
        <v>2800</v>
      </c>
      <c r="I150" s="84">
        <v>0</v>
      </c>
    </row>
    <row r="151" spans="1:9" s="77" customFormat="1" ht="14.25" customHeight="1">
      <c r="A151" s="274" t="s">
        <v>450</v>
      </c>
      <c r="B151" s="301" t="s">
        <v>651</v>
      </c>
      <c r="C151" s="301" t="s">
        <v>659</v>
      </c>
      <c r="D151" s="307" t="s">
        <v>428</v>
      </c>
      <c r="E151" s="310">
        <v>39583</v>
      </c>
      <c r="F151" s="140">
        <v>27190961</v>
      </c>
      <c r="G151" s="140">
        <v>26977874</v>
      </c>
      <c r="H151" s="140">
        <f t="shared" si="3"/>
        <v>213087</v>
      </c>
      <c r="I151" s="84">
        <v>0</v>
      </c>
    </row>
    <row r="152" spans="1:9" s="77" customFormat="1" ht="14.25" customHeight="1">
      <c r="A152" s="302" t="s">
        <v>368</v>
      </c>
      <c r="B152" s="301" t="s">
        <v>634</v>
      </c>
      <c r="C152" s="321" t="s">
        <v>369</v>
      </c>
      <c r="D152" s="303" t="s">
        <v>684</v>
      </c>
      <c r="E152" s="310">
        <v>39583</v>
      </c>
      <c r="F152" s="140">
        <v>33338446</v>
      </c>
      <c r="G152" s="140">
        <v>33338446</v>
      </c>
      <c r="H152" s="140">
        <f t="shared" si="3"/>
        <v>0</v>
      </c>
      <c r="I152" s="84">
        <v>0</v>
      </c>
    </row>
    <row r="153" spans="1:9" s="77" customFormat="1" ht="14.25" customHeight="1">
      <c r="A153" s="302" t="s">
        <v>250</v>
      </c>
      <c r="B153" s="301" t="s">
        <v>648</v>
      </c>
      <c r="C153" s="321" t="s">
        <v>357</v>
      </c>
      <c r="D153" s="303" t="s">
        <v>253</v>
      </c>
      <c r="E153" s="310">
        <v>39675</v>
      </c>
      <c r="F153" s="140">
        <v>21357474</v>
      </c>
      <c r="G153" s="140">
        <v>21351434</v>
      </c>
      <c r="H153" s="140">
        <f t="shared" si="3"/>
        <v>6040</v>
      </c>
      <c r="I153" s="84">
        <v>5600</v>
      </c>
    </row>
    <row r="154" spans="1:9" s="77" customFormat="1" ht="14.25" customHeight="1">
      <c r="A154" s="302" t="s">
        <v>178</v>
      </c>
      <c r="B154" s="301" t="s">
        <v>656</v>
      </c>
      <c r="C154" s="321" t="s">
        <v>179</v>
      </c>
      <c r="D154" s="303" t="s">
        <v>181</v>
      </c>
      <c r="E154" s="310">
        <v>39706</v>
      </c>
      <c r="F154" s="140">
        <v>16002177</v>
      </c>
      <c r="G154" s="140">
        <v>15990977</v>
      </c>
      <c r="H154" s="140">
        <f t="shared" si="3"/>
        <v>11200</v>
      </c>
      <c r="I154" s="84">
        <v>0</v>
      </c>
    </row>
    <row r="155" spans="1:9" s="77" customFormat="1" ht="14.25" customHeight="1">
      <c r="A155" s="302" t="s">
        <v>780</v>
      </c>
      <c r="B155" s="301" t="s">
        <v>78</v>
      </c>
      <c r="C155" s="321" t="s">
        <v>179</v>
      </c>
      <c r="D155" s="303" t="s">
        <v>615</v>
      </c>
      <c r="E155" s="310">
        <v>39736</v>
      </c>
      <c r="F155" s="140">
        <v>15995702</v>
      </c>
      <c r="G155" s="140">
        <v>15995702</v>
      </c>
      <c r="H155" s="140">
        <f t="shared" si="3"/>
        <v>0</v>
      </c>
      <c r="I155" s="84">
        <v>0</v>
      </c>
    </row>
    <row r="156" spans="1:9" s="77" customFormat="1" ht="14.25" customHeight="1">
      <c r="A156" s="274" t="s">
        <v>370</v>
      </c>
      <c r="B156" s="301" t="s">
        <v>660</v>
      </c>
      <c r="C156" s="306" t="s">
        <v>671</v>
      </c>
      <c r="D156" s="307" t="s">
        <v>429</v>
      </c>
      <c r="E156" s="310">
        <v>39767</v>
      </c>
      <c r="F156" s="140">
        <v>25083125</v>
      </c>
      <c r="G156" s="140">
        <v>24828280</v>
      </c>
      <c r="H156" s="140">
        <f t="shared" si="3"/>
        <v>254845</v>
      </c>
      <c r="I156" s="84">
        <v>700</v>
      </c>
    </row>
    <row r="157" spans="1:9" s="77" customFormat="1" ht="14.25" customHeight="1">
      <c r="A157" s="302" t="s">
        <v>983</v>
      </c>
      <c r="B157" s="301" t="s">
        <v>565</v>
      </c>
      <c r="C157" s="321" t="s">
        <v>951</v>
      </c>
      <c r="D157" s="303" t="s">
        <v>984</v>
      </c>
      <c r="E157" s="310">
        <v>39767</v>
      </c>
      <c r="F157" s="140">
        <v>18181033</v>
      </c>
      <c r="G157" s="140">
        <v>18181033</v>
      </c>
      <c r="H157" s="140">
        <f t="shared" si="3"/>
        <v>0</v>
      </c>
      <c r="I157" s="84">
        <v>0</v>
      </c>
    </row>
    <row r="158" spans="1:9" s="77" customFormat="1" ht="14.25" customHeight="1">
      <c r="A158" s="302" t="s">
        <v>270</v>
      </c>
      <c r="B158" s="301" t="s">
        <v>568</v>
      </c>
      <c r="C158" s="321" t="s">
        <v>951</v>
      </c>
      <c r="D158" s="303" t="s">
        <v>272</v>
      </c>
      <c r="E158" s="310">
        <v>39797</v>
      </c>
      <c r="F158" s="140">
        <v>16000028</v>
      </c>
      <c r="G158" s="140">
        <v>16000028</v>
      </c>
      <c r="H158" s="140">
        <f t="shared" si="3"/>
        <v>0</v>
      </c>
      <c r="I158" s="84">
        <v>0</v>
      </c>
    </row>
    <row r="159" spans="1:9" s="77" customFormat="1" ht="14.25" customHeight="1">
      <c r="A159" s="302" t="s">
        <v>553</v>
      </c>
      <c r="B159" s="301" t="s">
        <v>660</v>
      </c>
      <c r="C159" s="321" t="s">
        <v>357</v>
      </c>
      <c r="D159" s="303" t="s">
        <v>554</v>
      </c>
      <c r="E159" s="310">
        <v>39828</v>
      </c>
      <c r="F159" s="140">
        <v>16002546</v>
      </c>
      <c r="G159" s="140">
        <v>16002546</v>
      </c>
      <c r="H159" s="140">
        <f t="shared" si="3"/>
        <v>0</v>
      </c>
      <c r="I159" s="84">
        <v>0</v>
      </c>
    </row>
    <row r="160" spans="1:9" s="77" customFormat="1" ht="14.25" customHeight="1">
      <c r="A160" s="302" t="s">
        <v>738</v>
      </c>
      <c r="B160" s="301" t="s">
        <v>75</v>
      </c>
      <c r="C160" s="321" t="s">
        <v>165</v>
      </c>
      <c r="D160" s="303" t="s">
        <v>739</v>
      </c>
      <c r="E160" s="310">
        <v>39859</v>
      </c>
      <c r="F160" s="140">
        <v>17433763</v>
      </c>
      <c r="G160" s="140">
        <v>17433763</v>
      </c>
      <c r="H160" s="140">
        <f t="shared" si="3"/>
        <v>0</v>
      </c>
      <c r="I160" s="84">
        <v>0</v>
      </c>
    </row>
    <row r="161" spans="1:9" s="77" customFormat="1" ht="14.25" customHeight="1">
      <c r="A161" s="302" t="s">
        <v>838</v>
      </c>
      <c r="B161" s="301" t="s">
        <v>634</v>
      </c>
      <c r="C161" s="321" t="s">
        <v>369</v>
      </c>
      <c r="D161" s="303" t="s">
        <v>840</v>
      </c>
      <c r="E161" s="310">
        <v>39887</v>
      </c>
      <c r="F161" s="140">
        <v>16001063</v>
      </c>
      <c r="G161" s="140">
        <v>16001063</v>
      </c>
      <c r="H161" s="140">
        <f aca="true" t="shared" si="4" ref="H161:H172">SUM(F161-G161)</f>
        <v>0</v>
      </c>
      <c r="I161" s="84">
        <v>0</v>
      </c>
    </row>
    <row r="162" spans="1:9" s="77" customFormat="1" ht="14.25" customHeight="1">
      <c r="A162" s="302" t="s">
        <v>716</v>
      </c>
      <c r="B162" s="301" t="s">
        <v>648</v>
      </c>
      <c r="C162" s="321" t="s">
        <v>179</v>
      </c>
      <c r="D162" s="303" t="s">
        <v>717</v>
      </c>
      <c r="E162" s="310">
        <v>39918</v>
      </c>
      <c r="F162" s="140">
        <v>16002805</v>
      </c>
      <c r="G162" s="140">
        <v>16002805</v>
      </c>
      <c r="H162" s="140">
        <f>SUM(F162-G162)</f>
        <v>0</v>
      </c>
      <c r="I162" s="84">
        <v>0</v>
      </c>
    </row>
    <row r="163" spans="1:9" s="77" customFormat="1" ht="14.25" customHeight="1">
      <c r="A163" s="274" t="s">
        <v>985</v>
      </c>
      <c r="B163" s="301" t="s">
        <v>640</v>
      </c>
      <c r="C163" s="306" t="s">
        <v>566</v>
      </c>
      <c r="D163" s="303" t="s">
        <v>195</v>
      </c>
      <c r="E163" s="310">
        <v>39948</v>
      </c>
      <c r="F163" s="140">
        <v>14794790</v>
      </c>
      <c r="G163" s="140">
        <v>14738450</v>
      </c>
      <c r="H163" s="140">
        <f t="shared" si="4"/>
        <v>56340</v>
      </c>
      <c r="I163" s="84">
        <v>0</v>
      </c>
    </row>
    <row r="164" spans="1:9" s="77" customFormat="1" ht="14.25" customHeight="1">
      <c r="A164" s="274" t="s">
        <v>501</v>
      </c>
      <c r="B164" s="301" t="s">
        <v>656</v>
      </c>
      <c r="C164" s="306" t="s">
        <v>1004</v>
      </c>
      <c r="D164" s="303" t="s">
        <v>505</v>
      </c>
      <c r="E164" s="310">
        <v>39948</v>
      </c>
      <c r="F164" s="140">
        <v>18059937</v>
      </c>
      <c r="G164" s="140">
        <v>17882337</v>
      </c>
      <c r="H164" s="140">
        <f>SUM(F164-G164)</f>
        <v>177600</v>
      </c>
      <c r="I164" s="84">
        <v>0</v>
      </c>
    </row>
    <row r="165" spans="1:9" s="77" customFormat="1" ht="14.25" customHeight="1">
      <c r="A165" s="302" t="s">
        <v>906</v>
      </c>
      <c r="B165" s="301" t="s">
        <v>78</v>
      </c>
      <c r="C165" s="306">
        <v>4</v>
      </c>
      <c r="D165" s="303" t="s">
        <v>907</v>
      </c>
      <c r="E165" s="310">
        <v>39979</v>
      </c>
      <c r="F165" s="140">
        <v>15004754</v>
      </c>
      <c r="G165" s="140">
        <v>15004754</v>
      </c>
      <c r="H165" s="140">
        <f>SUM(F165-G165)</f>
        <v>0</v>
      </c>
      <c r="I165" s="84">
        <v>0</v>
      </c>
    </row>
    <row r="166" spans="1:9" s="77" customFormat="1" ht="14.25" customHeight="1">
      <c r="A166" s="302" t="s">
        <v>1153</v>
      </c>
      <c r="B166" s="301" t="s">
        <v>565</v>
      </c>
      <c r="C166" s="306" t="s">
        <v>1154</v>
      </c>
      <c r="D166" s="303" t="s">
        <v>1155</v>
      </c>
      <c r="E166" s="310">
        <v>40009</v>
      </c>
      <c r="F166" s="140">
        <v>15004962</v>
      </c>
      <c r="G166" s="140">
        <v>15004962</v>
      </c>
      <c r="H166" s="140">
        <f>SUM(F166-G166)</f>
        <v>0</v>
      </c>
      <c r="I166" s="84">
        <v>0</v>
      </c>
    </row>
    <row r="167" spans="1:9" s="77" customFormat="1" ht="14.25" customHeight="1">
      <c r="A167" s="302" t="s">
        <v>502</v>
      </c>
      <c r="B167" s="301" t="s">
        <v>651</v>
      </c>
      <c r="C167" s="306">
        <v>6</v>
      </c>
      <c r="D167" s="303" t="s">
        <v>162</v>
      </c>
      <c r="E167" s="310">
        <v>40040</v>
      </c>
      <c r="F167" s="140">
        <v>27399894</v>
      </c>
      <c r="G167" s="140">
        <v>26819642</v>
      </c>
      <c r="H167" s="140">
        <f t="shared" si="4"/>
        <v>580252</v>
      </c>
      <c r="I167" s="84">
        <v>191</v>
      </c>
    </row>
    <row r="168" spans="1:9" s="77" customFormat="1" ht="14.25" customHeight="1">
      <c r="A168" s="274" t="s">
        <v>5</v>
      </c>
      <c r="B168" s="301" t="s">
        <v>640</v>
      </c>
      <c r="C168" s="301" t="s">
        <v>638</v>
      </c>
      <c r="D168" s="303" t="s">
        <v>999</v>
      </c>
      <c r="E168" s="310">
        <v>40224</v>
      </c>
      <c r="F168" s="140">
        <v>23355709</v>
      </c>
      <c r="G168" s="140">
        <v>23348789</v>
      </c>
      <c r="H168" s="140">
        <f t="shared" si="4"/>
        <v>6920</v>
      </c>
      <c r="I168" s="84">
        <v>0</v>
      </c>
    </row>
    <row r="169" spans="1:9" s="77" customFormat="1" ht="14.25" customHeight="1">
      <c r="A169" s="274" t="s">
        <v>6</v>
      </c>
      <c r="B169" s="301" t="s">
        <v>651</v>
      </c>
      <c r="C169" s="306" t="s">
        <v>74</v>
      </c>
      <c r="D169" s="303" t="s">
        <v>19</v>
      </c>
      <c r="E169" s="310">
        <v>40405</v>
      </c>
      <c r="F169" s="140">
        <v>22437594</v>
      </c>
      <c r="G169" s="140">
        <v>22436074</v>
      </c>
      <c r="H169" s="140">
        <f t="shared" si="4"/>
        <v>1520</v>
      </c>
      <c r="I169" s="84">
        <v>0</v>
      </c>
    </row>
    <row r="170" spans="1:9" s="77" customFormat="1" ht="14.25" customHeight="1">
      <c r="A170" s="274" t="s">
        <v>163</v>
      </c>
      <c r="B170" s="301" t="s">
        <v>640</v>
      </c>
      <c r="C170" s="306">
        <v>5</v>
      </c>
      <c r="D170" s="303" t="s">
        <v>198</v>
      </c>
      <c r="E170" s="310">
        <v>40589</v>
      </c>
      <c r="F170" s="140">
        <v>23436329</v>
      </c>
      <c r="G170" s="140">
        <v>23405509</v>
      </c>
      <c r="H170" s="140">
        <f t="shared" si="4"/>
        <v>30820</v>
      </c>
      <c r="I170" s="84">
        <v>0</v>
      </c>
    </row>
    <row r="171" spans="1:9" s="77" customFormat="1" ht="14.25" customHeight="1">
      <c r="A171" s="302" t="s">
        <v>238</v>
      </c>
      <c r="B171" s="301" t="s">
        <v>651</v>
      </c>
      <c r="C171" s="306">
        <v>5</v>
      </c>
      <c r="D171" s="303" t="s">
        <v>239</v>
      </c>
      <c r="E171" s="310">
        <v>40770</v>
      </c>
      <c r="F171" s="140">
        <v>26635316</v>
      </c>
      <c r="G171" s="140">
        <v>26413856</v>
      </c>
      <c r="H171" s="140">
        <f t="shared" si="4"/>
        <v>221460</v>
      </c>
      <c r="I171" s="84">
        <v>280</v>
      </c>
    </row>
    <row r="172" spans="1:9" s="77" customFormat="1" ht="14.25" customHeight="1">
      <c r="A172" s="302" t="s">
        <v>484</v>
      </c>
      <c r="B172" s="301" t="s">
        <v>640</v>
      </c>
      <c r="C172" s="306" t="s">
        <v>485</v>
      </c>
      <c r="D172" s="303" t="s">
        <v>486</v>
      </c>
      <c r="E172" s="310">
        <v>40954</v>
      </c>
      <c r="F172" s="140">
        <v>24779838</v>
      </c>
      <c r="G172" s="140">
        <v>24767438</v>
      </c>
      <c r="H172" s="140">
        <f t="shared" si="4"/>
        <v>12400</v>
      </c>
      <c r="I172" s="84">
        <v>0</v>
      </c>
    </row>
    <row r="173" spans="1:9" s="77" customFormat="1" ht="14.25" customHeight="1">
      <c r="A173" s="302" t="s">
        <v>448</v>
      </c>
      <c r="B173" s="301" t="s">
        <v>660</v>
      </c>
      <c r="C173" s="306" t="s">
        <v>362</v>
      </c>
      <c r="D173" s="303" t="s">
        <v>449</v>
      </c>
      <c r="E173" s="310">
        <v>41136</v>
      </c>
      <c r="F173" s="140">
        <v>19647976</v>
      </c>
      <c r="G173" s="140">
        <v>19634776</v>
      </c>
      <c r="H173" s="140">
        <f aca="true" t="shared" si="5" ref="H173:H178">SUM(F173-G173)</f>
        <v>13200</v>
      </c>
      <c r="I173" s="84">
        <v>0</v>
      </c>
    </row>
    <row r="174" spans="1:9" s="77" customFormat="1" ht="14.25" customHeight="1">
      <c r="A174" s="302" t="s">
        <v>89</v>
      </c>
      <c r="B174" s="301" t="s">
        <v>75</v>
      </c>
      <c r="C174" s="306">
        <v>4</v>
      </c>
      <c r="D174" s="303" t="s">
        <v>92</v>
      </c>
      <c r="E174" s="310">
        <v>41228</v>
      </c>
      <c r="F174" s="140">
        <v>18112742</v>
      </c>
      <c r="G174" s="140">
        <v>18112542</v>
      </c>
      <c r="H174" s="140">
        <f t="shared" si="5"/>
        <v>200</v>
      </c>
      <c r="I174" s="84">
        <v>0</v>
      </c>
    </row>
    <row r="175" spans="1:9" s="77" customFormat="1" ht="14.25" customHeight="1">
      <c r="A175" s="302" t="s">
        <v>96</v>
      </c>
      <c r="B175" s="301" t="s">
        <v>81</v>
      </c>
      <c r="C175" s="321" t="s">
        <v>1004</v>
      </c>
      <c r="D175" s="303" t="s">
        <v>97</v>
      </c>
      <c r="E175" s="385">
        <v>41320</v>
      </c>
      <c r="F175" s="386">
        <v>19498396</v>
      </c>
      <c r="G175" s="140">
        <v>19493756</v>
      </c>
      <c r="H175" s="140">
        <f t="shared" si="5"/>
        <v>4640</v>
      </c>
      <c r="I175" s="84">
        <v>0</v>
      </c>
    </row>
    <row r="176" spans="1:9" s="77" customFormat="1" ht="14.25" customHeight="1">
      <c r="A176" s="302" t="s">
        <v>371</v>
      </c>
      <c r="B176" s="301" t="s">
        <v>640</v>
      </c>
      <c r="C176" s="321" t="s">
        <v>950</v>
      </c>
      <c r="D176" s="303" t="s">
        <v>685</v>
      </c>
      <c r="E176" s="310">
        <v>41409</v>
      </c>
      <c r="F176" s="140">
        <v>18253553</v>
      </c>
      <c r="G176" s="140">
        <v>18247153</v>
      </c>
      <c r="H176" s="140">
        <f t="shared" si="5"/>
        <v>6400</v>
      </c>
      <c r="I176" s="84">
        <v>0</v>
      </c>
    </row>
    <row r="177" spans="1:9" s="77" customFormat="1" ht="14.25" customHeight="1">
      <c r="A177" s="302" t="s">
        <v>247</v>
      </c>
      <c r="B177" s="301" t="s">
        <v>660</v>
      </c>
      <c r="C177" s="321" t="s">
        <v>669</v>
      </c>
      <c r="D177" s="303" t="s">
        <v>251</v>
      </c>
      <c r="E177" s="310">
        <v>41501</v>
      </c>
      <c r="F177" s="140">
        <v>33521123</v>
      </c>
      <c r="G177" s="140">
        <v>33497923</v>
      </c>
      <c r="H177" s="140">
        <f t="shared" si="5"/>
        <v>23200</v>
      </c>
      <c r="I177" s="84">
        <v>0</v>
      </c>
    </row>
    <row r="178" spans="1:9" s="77" customFormat="1" ht="14.25" customHeight="1">
      <c r="A178" s="302" t="s">
        <v>979</v>
      </c>
      <c r="B178" s="301" t="s">
        <v>75</v>
      </c>
      <c r="C178" s="321" t="s">
        <v>669</v>
      </c>
      <c r="D178" s="303" t="s">
        <v>986</v>
      </c>
      <c r="E178" s="310">
        <v>41593</v>
      </c>
      <c r="F178" s="140">
        <v>30636844</v>
      </c>
      <c r="G178" s="140">
        <v>30636844</v>
      </c>
      <c r="H178" s="140">
        <f t="shared" si="5"/>
        <v>0</v>
      </c>
      <c r="I178" s="84">
        <v>0</v>
      </c>
    </row>
    <row r="179" spans="1:9" s="77" customFormat="1" ht="14.25" customHeight="1">
      <c r="A179" s="302" t="s">
        <v>740</v>
      </c>
      <c r="B179" s="301" t="s">
        <v>640</v>
      </c>
      <c r="C179" s="306">
        <v>4</v>
      </c>
      <c r="D179" s="303" t="s">
        <v>741</v>
      </c>
      <c r="E179" s="310">
        <v>41685</v>
      </c>
      <c r="F179" s="140">
        <v>28081066</v>
      </c>
      <c r="G179" s="140">
        <v>28080066</v>
      </c>
      <c r="H179" s="140">
        <f>SUM(F179-G179)</f>
        <v>1000</v>
      </c>
      <c r="I179" s="84">
        <v>0</v>
      </c>
    </row>
    <row r="180" spans="1:9" s="77" customFormat="1" ht="14.25" customHeight="1">
      <c r="A180" s="302" t="s">
        <v>503</v>
      </c>
      <c r="B180" s="301" t="s">
        <v>651</v>
      </c>
      <c r="C180" s="306" t="s">
        <v>671</v>
      </c>
      <c r="D180" s="303" t="s">
        <v>506</v>
      </c>
      <c r="E180" s="310">
        <v>41774</v>
      </c>
      <c r="F180" s="140">
        <v>27302981</v>
      </c>
      <c r="G180" s="140">
        <v>27302981</v>
      </c>
      <c r="H180" s="140">
        <f>SUM(F180-G180)</f>
        <v>0</v>
      </c>
      <c r="I180" s="84">
        <v>0</v>
      </c>
    </row>
    <row r="181" spans="1:9" s="77" customFormat="1" ht="14.25" customHeight="1">
      <c r="A181" s="274"/>
      <c r="B181" s="301"/>
      <c r="C181" s="306"/>
      <c r="D181" s="307"/>
      <c r="E181" s="314"/>
      <c r="F181" s="375"/>
      <c r="G181" s="140"/>
      <c r="H181" s="140"/>
      <c r="I181" s="84"/>
    </row>
    <row r="182" spans="1:9" s="77" customFormat="1" ht="14.25" customHeight="1">
      <c r="A182" s="279" t="s">
        <v>698</v>
      </c>
      <c r="B182" s="301"/>
      <c r="C182" s="306"/>
      <c r="D182" s="303" t="s">
        <v>859</v>
      </c>
      <c r="E182" s="314"/>
      <c r="F182" s="140">
        <f>SUM(F99:F181)</f>
        <v>2033965695</v>
      </c>
      <c r="G182" s="140">
        <f>SUM(G99:G181)</f>
        <v>2018386878</v>
      </c>
      <c r="H182" s="140">
        <f>SUM(H99:H181)</f>
        <v>15578817</v>
      </c>
      <c r="I182" s="84">
        <f>SUM(I99:I181)</f>
        <v>251945</v>
      </c>
    </row>
    <row r="183" spans="1:9" s="77" customFormat="1" ht="15" customHeight="1">
      <c r="A183" s="279"/>
      <c r="B183" s="301"/>
      <c r="C183" s="306"/>
      <c r="D183" s="81"/>
      <c r="E183" s="322"/>
      <c r="F183" s="140"/>
      <c r="G183" s="140"/>
      <c r="H183" s="140"/>
      <c r="I183" s="84"/>
    </row>
    <row r="184" spans="1:10" s="77" customFormat="1" ht="23.25" customHeight="1" thickBot="1">
      <c r="A184" s="323" t="s">
        <v>431</v>
      </c>
      <c r="B184" s="324"/>
      <c r="C184" s="324"/>
      <c r="D184" s="324"/>
      <c r="E184" s="324"/>
      <c r="F184" s="142">
        <f>SUM(+F64+F182+F82)</f>
        <v>2745432575.62054</v>
      </c>
      <c r="G184" s="142">
        <f>SUM(+G64+G182+G82)</f>
        <v>2567259333.21054</v>
      </c>
      <c r="H184" s="416">
        <f>SUM(+H64+H182+H82)</f>
        <v>178173242.41</v>
      </c>
      <c r="I184" s="417">
        <f>SUM(+I64+I182+I82)</f>
        <v>13679353</v>
      </c>
      <c r="J184" s="325"/>
    </row>
    <row r="185" spans="1:10" s="77" customFormat="1" ht="16.5" customHeight="1" thickTop="1">
      <c r="A185" s="326"/>
      <c r="B185" s="176"/>
      <c r="C185" s="176"/>
      <c r="D185" s="176"/>
      <c r="E185" s="176"/>
      <c r="F185" s="176"/>
      <c r="G185" s="176"/>
      <c r="H185" s="176"/>
      <c r="I185" s="176"/>
      <c r="J185" s="285"/>
    </row>
    <row r="186" s="77" customFormat="1" ht="14.25" customHeight="1"/>
    <row r="187" s="77" customFormat="1" ht="15"/>
    <row r="188" s="77" customFormat="1" ht="15"/>
    <row r="189" s="77" customFormat="1" ht="15"/>
    <row r="190" s="77" customFormat="1" ht="15"/>
    <row r="191" s="77" customFormat="1" ht="15"/>
    <row r="192" s="77" customFormat="1" ht="15"/>
    <row r="193" s="77" customFormat="1" ht="15"/>
    <row r="194" s="77" customFormat="1" ht="15"/>
    <row r="195" s="77" customFormat="1" ht="15"/>
    <row r="196" s="77" customFormat="1" ht="15"/>
    <row r="197" s="77" customFormat="1" ht="15"/>
    <row r="198" s="77" customFormat="1" ht="15"/>
    <row r="199" s="77" customFormat="1" ht="15"/>
    <row r="200" s="77" customFormat="1" ht="15"/>
    <row r="201" s="77" customFormat="1" ht="15"/>
    <row r="202" s="77" customFormat="1" ht="15"/>
    <row r="203" s="77" customFormat="1" ht="15"/>
    <row r="204" s="77" customFormat="1" ht="15"/>
    <row r="205" s="77" customFormat="1" ht="15"/>
    <row r="206" s="77" customFormat="1" ht="15"/>
    <row r="207" s="77" customFormat="1" ht="15"/>
    <row r="208" s="77" customFormat="1" ht="15"/>
    <row r="209" s="77" customFormat="1" ht="15"/>
    <row r="210" s="77" customFormat="1" ht="15"/>
    <row r="211" s="77" customFormat="1" ht="15"/>
    <row r="212" s="77" customFormat="1" ht="15"/>
    <row r="213" s="77" customFormat="1" ht="15"/>
    <row r="214" s="77" customFormat="1" ht="15"/>
    <row r="215" s="77" customFormat="1" ht="15"/>
    <row r="216" s="77" customFormat="1" ht="15"/>
    <row r="217" s="77" customFormat="1" ht="15"/>
    <row r="218" s="77" customFormat="1" ht="15"/>
    <row r="219" s="77" customFormat="1" ht="15"/>
    <row r="220" s="77" customFormat="1" ht="15"/>
    <row r="221" s="77" customFormat="1" ht="15"/>
    <row r="222" s="77" customFormat="1" ht="15"/>
    <row r="223" s="77" customFormat="1" ht="15"/>
    <row r="224" s="77" customFormat="1" ht="15"/>
    <row r="225" s="77" customFormat="1" ht="15"/>
    <row r="226" s="77" customFormat="1" ht="15"/>
    <row r="227" s="77" customFormat="1" ht="15"/>
    <row r="228" s="77" customFormat="1" ht="15"/>
    <row r="229" s="77" customFormat="1" ht="15"/>
    <row r="230" s="77" customFormat="1" ht="15"/>
    <row r="231" s="77" customFormat="1" ht="15"/>
    <row r="232" s="77" customFormat="1" ht="15"/>
    <row r="233" s="77" customFormat="1" ht="15"/>
    <row r="234" s="77" customFormat="1" ht="15"/>
  </sheetData>
  <mergeCells count="1">
    <mergeCell ref="G10:J10"/>
  </mergeCells>
  <printOptions horizontalCentered="1"/>
  <pageMargins left="0.5" right="0.5" top="0.4" bottom="0.25" header="0" footer="0"/>
  <pageSetup fitToHeight="2" horizontalDpi="300" verticalDpi="300" orientation="portrait" scale="51" r:id="rId1"/>
  <rowBreaks count="1" manualBreakCount="1">
    <brk id="88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79"/>
  <sheetViews>
    <sheetView showGridLines="0" view="pageBreakPreview" zoomScale="75" zoomScaleNormal="75" zoomScaleSheetLayoutView="75" workbookViewId="0" topLeftCell="A1">
      <selection activeCell="B32" sqref="B32"/>
    </sheetView>
  </sheetViews>
  <sheetFormatPr defaultColWidth="9.77734375" defaultRowHeight="15"/>
  <cols>
    <col min="1" max="1" width="3.77734375" style="0" customWidth="1"/>
    <col min="2" max="3" width="20.77734375" style="0" customWidth="1"/>
    <col min="4" max="4" width="1.77734375" style="0" customWidth="1"/>
    <col min="5" max="12" width="9.77734375" style="0" customWidth="1"/>
    <col min="13" max="13" width="10.3359375" style="0" customWidth="1"/>
  </cols>
  <sheetData>
    <row r="1" spans="1:13" s="77" customFormat="1" ht="15.75">
      <c r="A1" s="74">
        <v>12</v>
      </c>
      <c r="B1" s="75" t="s">
        <v>262</v>
      </c>
      <c r="C1" s="75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="77" customFormat="1" ht="15">
      <c r="B2" s="327"/>
    </row>
    <row r="3" spans="1:2" s="77" customFormat="1" ht="16.5" customHeight="1">
      <c r="A3" s="302" t="s">
        <v>432</v>
      </c>
      <c r="B3" s="138" t="s">
        <v>998</v>
      </c>
    </row>
    <row r="4" spans="1:3" s="77" customFormat="1" ht="16.5" customHeight="1">
      <c r="A4" s="63">
        <v>1</v>
      </c>
      <c r="B4" s="138" t="s">
        <v>831</v>
      </c>
      <c r="C4" s="282"/>
    </row>
    <row r="5" spans="1:3" s="77" customFormat="1" ht="16.5" customHeight="1">
      <c r="A5" s="63"/>
      <c r="B5" s="138" t="s">
        <v>1089</v>
      </c>
      <c r="C5" s="282"/>
    </row>
    <row r="6" spans="1:3" s="77" customFormat="1" ht="16.5" customHeight="1">
      <c r="A6" s="63">
        <v>2</v>
      </c>
      <c r="B6" s="138" t="s">
        <v>433</v>
      </c>
      <c r="C6" s="282"/>
    </row>
    <row r="7" spans="1:3" s="77" customFormat="1" ht="16.5" customHeight="1">
      <c r="A7" s="63">
        <v>3</v>
      </c>
      <c r="B7" s="138" t="s">
        <v>832</v>
      </c>
      <c r="C7" s="282"/>
    </row>
    <row r="8" spans="1:3" s="77" customFormat="1" ht="16.5" customHeight="1">
      <c r="A8" s="63">
        <v>4</v>
      </c>
      <c r="B8" s="138" t="s">
        <v>192</v>
      </c>
      <c r="C8" s="282"/>
    </row>
    <row r="9" spans="1:3" s="77" customFormat="1" ht="16.5" customHeight="1">
      <c r="A9" s="63">
        <v>5</v>
      </c>
      <c r="B9" s="138" t="s">
        <v>824</v>
      </c>
      <c r="C9" s="282"/>
    </row>
    <row r="10" spans="1:3" s="77" customFormat="1" ht="16.5" customHeight="1">
      <c r="A10" s="63"/>
      <c r="B10" s="138" t="s">
        <v>218</v>
      </c>
      <c r="C10" s="282"/>
    </row>
    <row r="11" spans="1:3" s="77" customFormat="1" ht="16.5" customHeight="1">
      <c r="A11" s="63"/>
      <c r="B11" s="138" t="s">
        <v>1222</v>
      </c>
      <c r="C11" s="282"/>
    </row>
    <row r="12" spans="1:2" s="77" customFormat="1" ht="16.5" customHeight="1">
      <c r="A12" s="63">
        <v>6</v>
      </c>
      <c r="B12" s="138" t="s">
        <v>825</v>
      </c>
    </row>
    <row r="13" spans="1:2" s="77" customFormat="1" ht="16.5" customHeight="1">
      <c r="A13" s="63">
        <v>7</v>
      </c>
      <c r="B13" s="138" t="s">
        <v>947</v>
      </c>
    </row>
    <row r="14" spans="1:2" s="77" customFormat="1" ht="16.5" customHeight="1">
      <c r="A14" s="63">
        <v>8</v>
      </c>
      <c r="B14" s="138" t="s">
        <v>847</v>
      </c>
    </row>
    <row r="15" spans="1:2" s="77" customFormat="1" ht="16.5" customHeight="1">
      <c r="A15" s="63">
        <v>9</v>
      </c>
      <c r="B15" s="138" t="s">
        <v>848</v>
      </c>
    </row>
    <row r="16" spans="1:2" s="77" customFormat="1" ht="16.5" customHeight="1">
      <c r="A16" s="63">
        <v>10</v>
      </c>
      <c r="B16" s="138" t="s">
        <v>908</v>
      </c>
    </row>
    <row r="17" spans="1:2" s="77" customFormat="1" ht="16.5" customHeight="1">
      <c r="A17" s="63"/>
      <c r="B17" s="138" t="s">
        <v>909</v>
      </c>
    </row>
    <row r="18" spans="1:2" s="77" customFormat="1" ht="16.5" customHeight="1">
      <c r="A18" s="63">
        <v>11</v>
      </c>
      <c r="B18" s="138" t="s">
        <v>1223</v>
      </c>
    </row>
    <row r="19" spans="1:2" s="77" customFormat="1" ht="16.5" customHeight="1">
      <c r="A19" s="63"/>
      <c r="B19" s="138" t="s">
        <v>1224</v>
      </c>
    </row>
    <row r="20" spans="1:2" s="77" customFormat="1" ht="16.5" customHeight="1">
      <c r="A20" s="63"/>
      <c r="B20" s="138" t="s">
        <v>1225</v>
      </c>
    </row>
    <row r="21" spans="1:2" s="77" customFormat="1" ht="16.5" customHeight="1">
      <c r="A21" s="63">
        <v>12</v>
      </c>
      <c r="B21" s="138" t="s">
        <v>117</v>
      </c>
    </row>
    <row r="22" spans="1:2" s="77" customFormat="1" ht="16.5" customHeight="1">
      <c r="A22" s="63"/>
      <c r="B22" s="138" t="s">
        <v>142</v>
      </c>
    </row>
    <row r="23" spans="1:2" s="77" customFormat="1" ht="16.5" customHeight="1">
      <c r="A23" s="63">
        <v>13</v>
      </c>
      <c r="B23" s="138" t="s">
        <v>185</v>
      </c>
    </row>
    <row r="24" spans="1:2" s="77" customFormat="1" ht="16.5" customHeight="1">
      <c r="A24" s="63"/>
      <c r="B24" s="138" t="s">
        <v>186</v>
      </c>
    </row>
    <row r="25" spans="1:2" s="77" customFormat="1" ht="16.5" customHeight="1">
      <c r="A25" s="63">
        <v>14</v>
      </c>
      <c r="B25" s="138" t="s">
        <v>187</v>
      </c>
    </row>
    <row r="26" spans="1:2" s="77" customFormat="1" ht="16.5" customHeight="1">
      <c r="A26" s="63"/>
      <c r="B26" s="138" t="s">
        <v>35</v>
      </c>
    </row>
    <row r="27" spans="1:2" s="77" customFormat="1" ht="16.5" customHeight="1">
      <c r="A27" s="63">
        <v>15</v>
      </c>
      <c r="B27" s="138" t="s">
        <v>36</v>
      </c>
    </row>
    <row r="28" spans="1:2" s="77" customFormat="1" ht="16.5" customHeight="1">
      <c r="A28" s="63"/>
      <c r="B28" s="138" t="s">
        <v>37</v>
      </c>
    </row>
    <row r="29" spans="1:2" s="77" customFormat="1" ht="16.5" customHeight="1">
      <c r="A29" s="63">
        <v>16</v>
      </c>
      <c r="B29" s="138" t="s">
        <v>38</v>
      </c>
    </row>
    <row r="30" spans="1:2" s="77" customFormat="1" ht="16.5" customHeight="1">
      <c r="A30" s="63">
        <v>17</v>
      </c>
      <c r="B30" s="138" t="s">
        <v>87</v>
      </c>
    </row>
    <row r="31" spans="1:2" s="77" customFormat="1" ht="16.5" customHeight="1">
      <c r="A31" s="63">
        <v>18</v>
      </c>
      <c r="B31" s="138" t="s">
        <v>358</v>
      </c>
    </row>
    <row r="32" spans="1:2" s="77" customFormat="1" ht="16.5" customHeight="1">
      <c r="A32" s="63"/>
      <c r="B32" s="138" t="s">
        <v>693</v>
      </c>
    </row>
    <row r="33" spans="1:2" s="77" customFormat="1" ht="16.5" customHeight="1">
      <c r="A33" s="63"/>
      <c r="B33" s="138"/>
    </row>
    <row r="34" spans="1:2" s="77" customFormat="1" ht="16.5" customHeight="1">
      <c r="A34" s="138" t="s">
        <v>39</v>
      </c>
      <c r="B34" s="327"/>
    </row>
    <row r="35" s="77" customFormat="1" ht="16.5" customHeight="1">
      <c r="B35" s="138" t="s">
        <v>40</v>
      </c>
    </row>
    <row r="36" s="77" customFormat="1" ht="16.5" customHeight="1">
      <c r="B36" s="138" t="s">
        <v>42</v>
      </c>
    </row>
    <row r="37" s="77" customFormat="1" ht="16.5" customHeight="1">
      <c r="B37" s="138"/>
    </row>
    <row r="38" s="77" customFormat="1" ht="16.5" customHeight="1">
      <c r="B38" s="138"/>
    </row>
    <row r="39" spans="1:7" s="77" customFormat="1" ht="14.25" customHeight="1">
      <c r="A39" s="328" t="s">
        <v>493</v>
      </c>
      <c r="B39" s="329"/>
      <c r="C39" s="123"/>
      <c r="D39" s="123"/>
      <c r="E39" s="123"/>
      <c r="F39" s="123"/>
      <c r="G39" s="123"/>
    </row>
    <row r="40" spans="1:7" s="77" customFormat="1" ht="14.25" customHeight="1">
      <c r="A40" s="328"/>
      <c r="B40" s="330"/>
      <c r="C40" s="280"/>
      <c r="D40" s="280"/>
      <c r="E40" s="280"/>
      <c r="F40" s="280"/>
      <c r="G40" s="280"/>
    </row>
    <row r="41" spans="1:7" s="77" customFormat="1" ht="14.25" customHeight="1">
      <c r="A41" s="144"/>
      <c r="B41" s="145" t="s">
        <v>692</v>
      </c>
      <c r="C41" s="390" t="s">
        <v>529</v>
      </c>
      <c r="D41" s="331" t="s">
        <v>859</v>
      </c>
      <c r="E41" s="146" t="s">
        <v>1061</v>
      </c>
      <c r="F41" s="146"/>
      <c r="G41" s="331"/>
    </row>
    <row r="42" spans="1:7" s="77" customFormat="1" ht="14.25" customHeight="1">
      <c r="A42" s="332"/>
      <c r="B42" s="147">
        <v>37212.23</v>
      </c>
      <c r="C42" s="333">
        <v>542238.22</v>
      </c>
      <c r="D42" s="334"/>
      <c r="E42" s="333">
        <v>1277423.4</v>
      </c>
      <c r="F42" s="335"/>
      <c r="G42" s="334"/>
    </row>
    <row r="43" spans="1:2" s="77" customFormat="1" ht="14.25" customHeight="1">
      <c r="A43" s="336"/>
      <c r="B43" s="148" t="s">
        <v>1019</v>
      </c>
    </row>
    <row r="44" spans="1:7" s="77" customFormat="1" ht="14.25" customHeight="1">
      <c r="A44" s="336"/>
      <c r="B44" s="337"/>
      <c r="C44" s="336"/>
      <c r="D44" s="336"/>
      <c r="E44" s="336"/>
      <c r="F44" s="76"/>
      <c r="G44" s="336"/>
    </row>
    <row r="45" spans="1:7" s="77" customFormat="1" ht="16.5" customHeight="1">
      <c r="A45" s="336"/>
      <c r="B45" s="337"/>
      <c r="C45" s="336"/>
      <c r="D45" s="336"/>
      <c r="E45" s="336"/>
      <c r="F45" s="76"/>
      <c r="G45" s="336"/>
    </row>
    <row r="46" spans="1:2" s="77" customFormat="1" ht="16.5" customHeight="1">
      <c r="A46" s="138" t="s">
        <v>202</v>
      </c>
      <c r="B46" s="327"/>
    </row>
    <row r="47" spans="1:2" s="77" customFormat="1" ht="16.5" customHeight="1">
      <c r="A47" s="73" t="s">
        <v>61</v>
      </c>
      <c r="B47" s="138" t="s">
        <v>1105</v>
      </c>
    </row>
    <row r="48" spans="1:2" s="77" customFormat="1" ht="16.5" customHeight="1">
      <c r="A48" s="73"/>
      <c r="B48" s="138" t="s">
        <v>1106</v>
      </c>
    </row>
    <row r="49" spans="1:2" s="77" customFormat="1" ht="16.5" customHeight="1">
      <c r="A49" s="73" t="s">
        <v>55</v>
      </c>
      <c r="B49" s="138" t="s">
        <v>1107</v>
      </c>
    </row>
    <row r="50" spans="1:2" s="77" customFormat="1" ht="16.5" customHeight="1">
      <c r="A50" s="73"/>
      <c r="B50" s="138" t="s">
        <v>1108</v>
      </c>
    </row>
    <row r="51" spans="1:2" s="77" customFormat="1" ht="16.5" customHeight="1">
      <c r="A51" s="282"/>
      <c r="B51" s="327"/>
    </row>
    <row r="52" s="77" customFormat="1" ht="16.5" customHeight="1">
      <c r="B52" s="327"/>
    </row>
    <row r="53" spans="1:2" s="77" customFormat="1" ht="16.5" customHeight="1">
      <c r="A53" s="138" t="s">
        <v>57</v>
      </c>
      <c r="B53" s="327"/>
    </row>
    <row r="54" spans="1:2" s="77" customFormat="1" ht="16.5" customHeight="1">
      <c r="A54" s="73" t="s">
        <v>58</v>
      </c>
      <c r="B54" s="138" t="s">
        <v>56</v>
      </c>
    </row>
    <row r="55" spans="1:2" s="77" customFormat="1" ht="16.5" customHeight="1">
      <c r="A55" s="73" t="s">
        <v>939</v>
      </c>
      <c r="B55" s="138" t="s">
        <v>1125</v>
      </c>
    </row>
    <row r="56" spans="1:2" s="77" customFormat="1" ht="16.5" customHeight="1">
      <c r="A56" s="73"/>
      <c r="B56" s="138" t="s">
        <v>1127</v>
      </c>
    </row>
    <row r="57" spans="1:2" s="77" customFormat="1" ht="16.5" customHeight="1">
      <c r="A57" s="73"/>
      <c r="B57" s="138" t="s">
        <v>1128</v>
      </c>
    </row>
    <row r="58" spans="1:2" s="77" customFormat="1" ht="17.25" customHeight="1">
      <c r="A58" s="73"/>
      <c r="B58" s="138" t="s">
        <v>1129</v>
      </c>
    </row>
    <row r="59" spans="1:2" s="77" customFormat="1" ht="18">
      <c r="A59" s="73" t="s">
        <v>101</v>
      </c>
      <c r="B59" s="138" t="s">
        <v>100</v>
      </c>
    </row>
    <row r="60" spans="1:2" s="77" customFormat="1" ht="18">
      <c r="A60" s="73" t="s">
        <v>203</v>
      </c>
      <c r="B60" s="138" t="s">
        <v>852</v>
      </c>
    </row>
    <row r="61" spans="1:2" s="77" customFormat="1" ht="15">
      <c r="A61" s="282"/>
      <c r="B61" s="77" t="s">
        <v>853</v>
      </c>
    </row>
    <row r="62" s="77" customFormat="1" ht="15">
      <c r="A62" s="282"/>
    </row>
    <row r="63" s="77" customFormat="1" ht="15">
      <c r="A63" s="282"/>
    </row>
    <row r="64" s="77" customFormat="1" ht="15">
      <c r="A64" s="282"/>
    </row>
    <row r="65" s="77" customFormat="1" ht="15">
      <c r="A65" s="282"/>
    </row>
    <row r="66" spans="1:2" s="77" customFormat="1" ht="15">
      <c r="A66" s="282"/>
      <c r="B66" s="327"/>
    </row>
    <row r="67" spans="1:2" s="77" customFormat="1" ht="15">
      <c r="A67" s="282"/>
      <c r="B67" s="327"/>
    </row>
    <row r="68" spans="1:2" s="77" customFormat="1" ht="15">
      <c r="A68" s="282"/>
      <c r="B68" s="327"/>
    </row>
    <row r="69" spans="1:2" s="77" customFormat="1" ht="15">
      <c r="A69" s="282"/>
      <c r="B69" s="327"/>
    </row>
    <row r="70" spans="1:13" s="77" customFormat="1" ht="15">
      <c r="A70" s="338"/>
      <c r="B70" s="338"/>
      <c r="C70" s="338"/>
      <c r="D70" s="280"/>
      <c r="E70" s="280"/>
      <c r="F70" s="280"/>
      <c r="G70" s="280"/>
      <c r="H70" s="280"/>
      <c r="I70" s="280"/>
      <c r="J70" s="280"/>
      <c r="K70" s="280"/>
      <c r="L70" s="280"/>
      <c r="M70" s="280"/>
    </row>
    <row r="71" spans="1:13" s="77" customFormat="1" ht="15">
      <c r="A71" s="76" t="s">
        <v>854</v>
      </c>
      <c r="B71" s="281"/>
      <c r="C71" s="281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s="77" customFormat="1" ht="15">
      <c r="A72" s="76" t="s">
        <v>855</v>
      </c>
      <c r="B72" s="281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s="77" customFormat="1" ht="15">
      <c r="A73" s="76" t="s">
        <v>1131</v>
      </c>
      <c r="B73" s="281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s="77" customFormat="1" ht="15">
      <c r="A74" s="76"/>
      <c r="B74" s="281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s="77" customFormat="1" ht="15">
      <c r="A75" s="76"/>
      <c r="B75" s="281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="77" customFormat="1" ht="15">
      <c r="B76" s="327"/>
    </row>
    <row r="77" s="77" customFormat="1" ht="15">
      <c r="B77" s="327"/>
    </row>
    <row r="78" s="77" customFormat="1" ht="15">
      <c r="B78" s="327"/>
    </row>
    <row r="79" s="77" customFormat="1" ht="15">
      <c r="B79" s="327"/>
    </row>
    <row r="80" s="77" customFormat="1" ht="15"/>
    <row r="81" s="77" customFormat="1" ht="15"/>
    <row r="82" s="77" customFormat="1" ht="15"/>
    <row r="83" s="77" customFormat="1" ht="15"/>
    <row r="84" s="77" customFormat="1" ht="15"/>
    <row r="85" s="77" customFormat="1" ht="15"/>
    <row r="86" s="77" customFormat="1" ht="15"/>
    <row r="87" s="77" customFormat="1" ht="15"/>
    <row r="88" s="77" customFormat="1" ht="15"/>
    <row r="89" s="77" customFormat="1" ht="15"/>
    <row r="90" s="77" customFormat="1" ht="15"/>
    <row r="91" s="77" customFormat="1" ht="15"/>
    <row r="92" s="77" customFormat="1" ht="15"/>
    <row r="93" s="77" customFormat="1" ht="15"/>
    <row r="94" s="77" customFormat="1" ht="15"/>
    <row r="95" s="77" customFormat="1" ht="15"/>
    <row r="96" s="77" customFormat="1" ht="15"/>
    <row r="97" s="77" customFormat="1" ht="15"/>
    <row r="98" s="77" customFormat="1" ht="15"/>
    <row r="99" s="77" customFormat="1" ht="15"/>
    <row r="100" s="77" customFormat="1" ht="15"/>
    <row r="101" s="77" customFormat="1" ht="15"/>
    <row r="102" s="77" customFormat="1" ht="15"/>
    <row r="103" s="77" customFormat="1" ht="15"/>
    <row r="104" s="77" customFormat="1" ht="15"/>
    <row r="105" s="77" customFormat="1" ht="15"/>
    <row r="106" s="77" customFormat="1" ht="15"/>
    <row r="107" s="77" customFormat="1" ht="15"/>
    <row r="108" s="77" customFormat="1" ht="15"/>
    <row r="109" s="77" customFormat="1" ht="15"/>
    <row r="110" s="77" customFormat="1" ht="15"/>
    <row r="111" s="77" customFormat="1" ht="15"/>
    <row r="112" s="77" customFormat="1" ht="15"/>
    <row r="113" s="77" customFormat="1" ht="15"/>
    <row r="114" s="77" customFormat="1" ht="15"/>
    <row r="115" s="77" customFormat="1" ht="15"/>
    <row r="116" s="77" customFormat="1" ht="15"/>
    <row r="117" s="77" customFormat="1" ht="15"/>
    <row r="118" s="77" customFormat="1" ht="15"/>
    <row r="119" s="77" customFormat="1" ht="15"/>
    <row r="120" s="77" customFormat="1" ht="15"/>
    <row r="121" s="77" customFormat="1" ht="15"/>
    <row r="122" s="77" customFormat="1" ht="15"/>
    <row r="123" s="77" customFormat="1" ht="15"/>
    <row r="124" s="77" customFormat="1" ht="15"/>
    <row r="125" s="77" customFormat="1" ht="15"/>
    <row r="126" s="77" customFormat="1" ht="15"/>
    <row r="127" s="77" customFormat="1" ht="15"/>
    <row r="128" s="77" customFormat="1" ht="15"/>
    <row r="129" s="77" customFormat="1" ht="15"/>
    <row r="130" s="77" customFormat="1" ht="15"/>
    <row r="131" s="77" customFormat="1" ht="15"/>
    <row r="132" s="77" customFormat="1" ht="15"/>
    <row r="133" s="77" customFormat="1" ht="15"/>
    <row r="134" s="77" customFormat="1" ht="15"/>
    <row r="135" s="77" customFormat="1" ht="15"/>
    <row r="136" s="77" customFormat="1" ht="15"/>
    <row r="137" s="77" customFormat="1" ht="15"/>
    <row r="138" s="77" customFormat="1" ht="15"/>
    <row r="139" s="77" customFormat="1" ht="15"/>
    <row r="140" s="77" customFormat="1" ht="15"/>
    <row r="141" s="77" customFormat="1" ht="15"/>
    <row r="142" s="77" customFormat="1" ht="15"/>
    <row r="143" s="77" customFormat="1" ht="15"/>
    <row r="144" s="77" customFormat="1" ht="15"/>
    <row r="145" s="77" customFormat="1" ht="15"/>
    <row r="146" s="77" customFormat="1" ht="15"/>
    <row r="147" s="77" customFormat="1" ht="15"/>
    <row r="148" s="77" customFormat="1" ht="15"/>
    <row r="149" s="77" customFormat="1" ht="15"/>
    <row r="150" s="77" customFormat="1" ht="15"/>
    <row r="151" s="77" customFormat="1" ht="15"/>
    <row r="152" s="77" customFormat="1" ht="15"/>
    <row r="153" s="77" customFormat="1" ht="15"/>
    <row r="154" s="77" customFormat="1" ht="15"/>
    <row r="155" s="77" customFormat="1" ht="15"/>
    <row r="156" s="77" customFormat="1" ht="15"/>
    <row r="157" s="77" customFormat="1" ht="15"/>
    <row r="158" s="77" customFormat="1" ht="15"/>
    <row r="159" s="77" customFormat="1" ht="15"/>
    <row r="160" s="77" customFormat="1" ht="15"/>
    <row r="161" s="77" customFormat="1" ht="15"/>
    <row r="162" s="77" customFormat="1" ht="15"/>
    <row r="163" s="77" customFormat="1" ht="15"/>
    <row r="164" s="77" customFormat="1" ht="15"/>
    <row r="165" s="77" customFormat="1" ht="15"/>
    <row r="166" s="77" customFormat="1" ht="15"/>
    <row r="167" s="77" customFormat="1" ht="15"/>
    <row r="168" s="77" customFormat="1" ht="15"/>
    <row r="169" s="77" customFormat="1" ht="15"/>
    <row r="170" s="77" customFormat="1" ht="15"/>
    <row r="171" s="77" customFormat="1" ht="15"/>
    <row r="172" s="77" customFormat="1" ht="15"/>
    <row r="173" s="77" customFormat="1" ht="15"/>
    <row r="174" s="77" customFormat="1" ht="15"/>
    <row r="175" s="77" customFormat="1" ht="15"/>
    <row r="176" s="77" customFormat="1" ht="15"/>
    <row r="177" s="77" customFormat="1" ht="15"/>
    <row r="178" s="77" customFormat="1" ht="15"/>
    <row r="179" s="77" customFormat="1" ht="15"/>
    <row r="180" s="77" customFormat="1" ht="15"/>
    <row r="181" s="77" customFormat="1" ht="15"/>
    <row r="182" s="77" customFormat="1" ht="15"/>
    <row r="183" s="77" customFormat="1" ht="15"/>
    <row r="184" s="77" customFormat="1" ht="15"/>
    <row r="185" s="77" customFormat="1" ht="15"/>
    <row r="186" s="77" customFormat="1" ht="15"/>
    <row r="187" s="77" customFormat="1" ht="15"/>
    <row r="188" s="77" customFormat="1" ht="15"/>
    <row r="189" s="77" customFormat="1" ht="15"/>
    <row r="190" s="77" customFormat="1" ht="15"/>
    <row r="191" s="77" customFormat="1" ht="15"/>
    <row r="192" s="77" customFormat="1" ht="15"/>
    <row r="193" s="77" customFormat="1" ht="15"/>
    <row r="194" s="77" customFormat="1" ht="15"/>
    <row r="195" s="77" customFormat="1" ht="15"/>
    <row r="196" s="77" customFormat="1" ht="15"/>
    <row r="197" s="77" customFormat="1" ht="15"/>
    <row r="198" s="77" customFormat="1" ht="15"/>
    <row r="199" s="77" customFormat="1" ht="15"/>
    <row r="200" s="77" customFormat="1" ht="15"/>
    <row r="201" s="77" customFormat="1" ht="15"/>
    <row r="202" s="77" customFormat="1" ht="15"/>
    <row r="203" s="77" customFormat="1" ht="15"/>
    <row r="204" s="77" customFormat="1" ht="15"/>
    <row r="205" s="77" customFormat="1" ht="15"/>
    <row r="206" s="77" customFormat="1" ht="15"/>
    <row r="207" s="77" customFormat="1" ht="15"/>
    <row r="208" s="77" customFormat="1" ht="15"/>
    <row r="209" s="77" customFormat="1" ht="15"/>
    <row r="210" s="77" customFormat="1" ht="15"/>
    <row r="211" s="77" customFormat="1" ht="15"/>
    <row r="212" s="77" customFormat="1" ht="15"/>
    <row r="213" s="77" customFormat="1" ht="15"/>
    <row r="214" s="77" customFormat="1" ht="15"/>
    <row r="215" s="77" customFormat="1" ht="15"/>
    <row r="216" s="77" customFormat="1" ht="15"/>
    <row r="217" s="77" customFormat="1" ht="15"/>
    <row r="218" s="77" customFormat="1" ht="15"/>
    <row r="219" s="77" customFormat="1" ht="15"/>
    <row r="220" s="77" customFormat="1" ht="15"/>
    <row r="221" s="77" customFormat="1" ht="15"/>
    <row r="222" s="77" customFormat="1" ht="15"/>
    <row r="223" s="77" customFormat="1" ht="15"/>
    <row r="224" s="77" customFormat="1" ht="15"/>
    <row r="225" s="77" customFormat="1" ht="15"/>
    <row r="226" s="77" customFormat="1" ht="15"/>
    <row r="227" s="77" customFormat="1" ht="15"/>
    <row r="228" s="77" customFormat="1" ht="15"/>
    <row r="229" s="77" customFormat="1" ht="15"/>
    <row r="230" s="77" customFormat="1" ht="15"/>
    <row r="231" s="77" customFormat="1" ht="15"/>
    <row r="232" s="77" customFormat="1" ht="15"/>
    <row r="233" s="77" customFormat="1" ht="15"/>
    <row r="234" s="77" customFormat="1" ht="15"/>
    <row r="235" s="77" customFormat="1" ht="15"/>
    <row r="236" s="77" customFormat="1" ht="15"/>
    <row r="237" s="77" customFormat="1" ht="15"/>
    <row r="238" s="77" customFormat="1" ht="15"/>
    <row r="239" s="77" customFormat="1" ht="15"/>
    <row r="240" s="77" customFormat="1" ht="15"/>
    <row r="241" s="77" customFormat="1" ht="15"/>
    <row r="242" s="77" customFormat="1" ht="15"/>
    <row r="243" s="77" customFormat="1" ht="15"/>
    <row r="244" s="77" customFormat="1" ht="15"/>
    <row r="245" s="77" customFormat="1" ht="15"/>
    <row r="246" s="77" customFormat="1" ht="15"/>
    <row r="247" s="77" customFormat="1" ht="15"/>
    <row r="248" s="77" customFormat="1" ht="15"/>
    <row r="249" s="77" customFormat="1" ht="15"/>
    <row r="250" s="77" customFormat="1" ht="15"/>
    <row r="251" s="77" customFormat="1" ht="15"/>
    <row r="252" s="77" customFormat="1" ht="15"/>
    <row r="253" s="77" customFormat="1" ht="15"/>
    <row r="254" s="77" customFormat="1" ht="15"/>
    <row r="255" s="77" customFormat="1" ht="15"/>
    <row r="256" s="77" customFormat="1" ht="15"/>
    <row r="257" s="77" customFormat="1" ht="15"/>
    <row r="258" s="77" customFormat="1" ht="15"/>
    <row r="259" s="77" customFormat="1" ht="15"/>
    <row r="260" s="77" customFormat="1" ht="15"/>
    <row r="261" s="77" customFormat="1" ht="15"/>
    <row r="262" s="77" customFormat="1" ht="15"/>
    <row r="263" s="77" customFormat="1" ht="15"/>
    <row r="264" s="77" customFormat="1" ht="15"/>
    <row r="265" s="77" customFormat="1" ht="15"/>
    <row r="266" s="77" customFormat="1" ht="15"/>
    <row r="267" s="77" customFormat="1" ht="15"/>
    <row r="268" s="77" customFormat="1" ht="15"/>
    <row r="269" s="77" customFormat="1" ht="15"/>
    <row r="270" s="77" customFormat="1" ht="15"/>
    <row r="271" s="77" customFormat="1" ht="15"/>
    <row r="272" s="77" customFormat="1" ht="15"/>
    <row r="273" s="77" customFormat="1" ht="15"/>
    <row r="274" s="77" customFormat="1" ht="15"/>
    <row r="275" s="77" customFormat="1" ht="15"/>
    <row r="276" s="77" customFormat="1" ht="15"/>
    <row r="277" s="77" customFormat="1" ht="15"/>
    <row r="278" s="77" customFormat="1" ht="15"/>
    <row r="279" s="77" customFormat="1" ht="15"/>
    <row r="280" s="77" customFormat="1" ht="15"/>
    <row r="281" s="77" customFormat="1" ht="15"/>
    <row r="282" s="77" customFormat="1" ht="15"/>
    <row r="283" s="77" customFormat="1" ht="15"/>
    <row r="284" s="77" customFormat="1" ht="15"/>
    <row r="285" s="77" customFormat="1" ht="15"/>
    <row r="286" s="77" customFormat="1" ht="15"/>
    <row r="287" s="77" customFormat="1" ht="15"/>
    <row r="288" s="77" customFormat="1" ht="15"/>
    <row r="289" s="77" customFormat="1" ht="15"/>
    <row r="290" s="77" customFormat="1" ht="15"/>
    <row r="291" s="77" customFormat="1" ht="15"/>
    <row r="292" s="77" customFormat="1" ht="15"/>
    <row r="293" s="77" customFormat="1" ht="15"/>
    <row r="294" s="77" customFormat="1" ht="15"/>
    <row r="295" s="77" customFormat="1" ht="15"/>
    <row r="296" s="77" customFormat="1" ht="15"/>
    <row r="297" s="77" customFormat="1" ht="15"/>
    <row r="298" s="77" customFormat="1" ht="15"/>
    <row r="299" s="77" customFormat="1" ht="15"/>
    <row r="300" s="77" customFormat="1" ht="15"/>
    <row r="301" s="77" customFormat="1" ht="15"/>
    <row r="302" s="77" customFormat="1" ht="15"/>
    <row r="303" s="77" customFormat="1" ht="15"/>
    <row r="304" s="77" customFormat="1" ht="15"/>
    <row r="305" s="77" customFormat="1" ht="15"/>
    <row r="306" s="77" customFormat="1" ht="15"/>
    <row r="307" s="77" customFormat="1" ht="15"/>
    <row r="308" s="77" customFormat="1" ht="15"/>
    <row r="309" s="77" customFormat="1" ht="15"/>
    <row r="310" s="77" customFormat="1" ht="15"/>
    <row r="311" s="77" customFormat="1" ht="15"/>
    <row r="312" s="77" customFormat="1" ht="15"/>
    <row r="313" s="77" customFormat="1" ht="15"/>
    <row r="314" s="77" customFormat="1" ht="15"/>
    <row r="315" s="77" customFormat="1" ht="15"/>
    <row r="316" s="77" customFormat="1" ht="15"/>
    <row r="317" s="77" customFormat="1" ht="15"/>
    <row r="318" s="77" customFormat="1" ht="15"/>
    <row r="319" s="77" customFormat="1" ht="15"/>
    <row r="320" s="77" customFormat="1" ht="15"/>
    <row r="321" s="77" customFormat="1" ht="15"/>
    <row r="322" s="77" customFormat="1" ht="15"/>
    <row r="323" s="77" customFormat="1" ht="15"/>
    <row r="324" s="77" customFormat="1" ht="15"/>
    <row r="325" s="77" customFormat="1" ht="15"/>
    <row r="326" s="77" customFormat="1" ht="15"/>
    <row r="327" s="77" customFormat="1" ht="15"/>
    <row r="328" s="77" customFormat="1" ht="15"/>
    <row r="329" s="77" customFormat="1" ht="15"/>
    <row r="330" s="77" customFormat="1" ht="15"/>
    <row r="331" s="77" customFormat="1" ht="15"/>
    <row r="332" s="77" customFormat="1" ht="15"/>
    <row r="333" s="77" customFormat="1" ht="15"/>
    <row r="334" s="77" customFormat="1" ht="15"/>
    <row r="335" s="77" customFormat="1" ht="15"/>
    <row r="336" s="77" customFormat="1" ht="15"/>
    <row r="337" s="77" customFormat="1" ht="15"/>
    <row r="338" s="77" customFormat="1" ht="15"/>
    <row r="339" s="77" customFormat="1" ht="15"/>
    <row r="340" s="77" customFormat="1" ht="15"/>
    <row r="341" s="77" customFormat="1" ht="15"/>
    <row r="342" s="77" customFormat="1" ht="15"/>
    <row r="343" s="77" customFormat="1" ht="15"/>
    <row r="344" s="77" customFormat="1" ht="15"/>
    <row r="345" s="77" customFormat="1" ht="15"/>
    <row r="346" s="77" customFormat="1" ht="15"/>
    <row r="347" s="77" customFormat="1" ht="15"/>
    <row r="348" s="77" customFormat="1" ht="15"/>
    <row r="349" s="77" customFormat="1" ht="15"/>
    <row r="350" s="77" customFormat="1" ht="15"/>
    <row r="351" s="77" customFormat="1" ht="15"/>
    <row r="352" s="77" customFormat="1" ht="15"/>
    <row r="353" s="77" customFormat="1" ht="15"/>
    <row r="354" s="77" customFormat="1" ht="15"/>
    <row r="355" s="77" customFormat="1" ht="15"/>
    <row r="356" s="77" customFormat="1" ht="15"/>
    <row r="357" s="77" customFormat="1" ht="15"/>
    <row r="358" s="77" customFormat="1" ht="15"/>
    <row r="359" s="77" customFormat="1" ht="15"/>
    <row r="360" s="77" customFormat="1" ht="15"/>
    <row r="361" s="77" customFormat="1" ht="15"/>
    <row r="362" s="77" customFormat="1" ht="15"/>
    <row r="363" s="77" customFormat="1" ht="15"/>
    <row r="364" s="77" customFormat="1" ht="15"/>
    <row r="365" s="77" customFormat="1" ht="15"/>
    <row r="366" s="77" customFormat="1" ht="15"/>
    <row r="367" s="77" customFormat="1" ht="15"/>
    <row r="368" s="77" customFormat="1" ht="15"/>
    <row r="369" s="77" customFormat="1" ht="15"/>
    <row r="370" s="77" customFormat="1" ht="15"/>
    <row r="371" s="77" customFormat="1" ht="15"/>
    <row r="372" s="77" customFormat="1" ht="15"/>
    <row r="373" s="77" customFormat="1" ht="15"/>
    <row r="374" s="77" customFormat="1" ht="15"/>
    <row r="375" s="77" customFormat="1" ht="15"/>
    <row r="376" s="77" customFormat="1" ht="15"/>
    <row r="377" s="77" customFormat="1" ht="15"/>
    <row r="378" s="77" customFormat="1" ht="15"/>
    <row r="379" s="77" customFormat="1" ht="15"/>
    <row r="380" s="77" customFormat="1" ht="15"/>
    <row r="381" s="77" customFormat="1" ht="15"/>
    <row r="382" s="77" customFormat="1" ht="15"/>
    <row r="383" s="77" customFormat="1" ht="15"/>
    <row r="384" s="77" customFormat="1" ht="15"/>
    <row r="385" s="77" customFormat="1" ht="15"/>
    <row r="386" s="77" customFormat="1" ht="15"/>
    <row r="387" s="77" customFormat="1" ht="15"/>
    <row r="388" s="77" customFormat="1" ht="15"/>
    <row r="389" s="77" customFormat="1" ht="15"/>
    <row r="390" s="77" customFormat="1" ht="15"/>
    <row r="391" s="77" customFormat="1" ht="15"/>
    <row r="392" s="77" customFormat="1" ht="15"/>
    <row r="393" s="77" customFormat="1" ht="15"/>
    <row r="394" s="77" customFormat="1" ht="15"/>
    <row r="395" s="77" customFormat="1" ht="15"/>
    <row r="396" s="77" customFormat="1" ht="15"/>
    <row r="397" s="77" customFormat="1" ht="15"/>
    <row r="398" s="77" customFormat="1" ht="15"/>
    <row r="399" s="77" customFormat="1" ht="15"/>
    <row r="400" s="77" customFormat="1" ht="15"/>
    <row r="401" s="77" customFormat="1" ht="15"/>
    <row r="402" s="77" customFormat="1" ht="15"/>
    <row r="403" s="77" customFormat="1" ht="15"/>
    <row r="404" s="77" customFormat="1" ht="15"/>
    <row r="405" s="77" customFormat="1" ht="15"/>
    <row r="406" s="77" customFormat="1" ht="15"/>
    <row r="407" s="77" customFormat="1" ht="15"/>
    <row r="408" s="77" customFormat="1" ht="15"/>
    <row r="409" s="77" customFormat="1" ht="15"/>
    <row r="410" s="77" customFormat="1" ht="15"/>
    <row r="411" s="77" customFormat="1" ht="15"/>
    <row r="412" s="77" customFormat="1" ht="15"/>
    <row r="413" s="77" customFormat="1" ht="15"/>
    <row r="414" s="77" customFormat="1" ht="15"/>
    <row r="415" s="77" customFormat="1" ht="15"/>
    <row r="416" s="77" customFormat="1" ht="15"/>
    <row r="417" s="77" customFormat="1" ht="15"/>
    <row r="418" s="77" customFormat="1" ht="15"/>
    <row r="419" s="77" customFormat="1" ht="15"/>
    <row r="420" s="77" customFormat="1" ht="15"/>
    <row r="421" s="77" customFormat="1" ht="15"/>
    <row r="422" s="77" customFormat="1" ht="15"/>
    <row r="423" s="77" customFormat="1" ht="15"/>
    <row r="424" s="77" customFormat="1" ht="15"/>
    <row r="425" s="77" customFormat="1" ht="15"/>
    <row r="426" s="77" customFormat="1" ht="15"/>
    <row r="427" s="77" customFormat="1" ht="15"/>
    <row r="428" s="77" customFormat="1" ht="15"/>
    <row r="429" s="77" customFormat="1" ht="15"/>
    <row r="430" s="77" customFormat="1" ht="15"/>
    <row r="431" s="77" customFormat="1" ht="15"/>
    <row r="432" s="77" customFormat="1" ht="15"/>
    <row r="433" s="77" customFormat="1" ht="15"/>
    <row r="434" s="77" customFormat="1" ht="15"/>
    <row r="435" s="77" customFormat="1" ht="15"/>
    <row r="436" s="77" customFormat="1" ht="15"/>
    <row r="437" s="77" customFormat="1" ht="15"/>
    <row r="438" s="77" customFormat="1" ht="15"/>
    <row r="439" s="77" customFormat="1" ht="15"/>
    <row r="440" s="77" customFormat="1" ht="15"/>
    <row r="441" s="77" customFormat="1" ht="15"/>
    <row r="442" s="77" customFormat="1" ht="15"/>
    <row r="443" s="77" customFormat="1" ht="15"/>
    <row r="444" s="77" customFormat="1" ht="15"/>
    <row r="445" s="77" customFormat="1" ht="15"/>
    <row r="446" s="77" customFormat="1" ht="15"/>
    <row r="447" s="77" customFormat="1" ht="15"/>
    <row r="448" s="77" customFormat="1" ht="15"/>
    <row r="449" s="77" customFormat="1" ht="15"/>
    <row r="450" s="77" customFormat="1" ht="15"/>
    <row r="451" s="77" customFormat="1" ht="15"/>
    <row r="452" s="77" customFormat="1" ht="15"/>
    <row r="453" s="77" customFormat="1" ht="15"/>
    <row r="454" s="77" customFormat="1" ht="15"/>
    <row r="455" s="77" customFormat="1" ht="15"/>
    <row r="456" s="77" customFormat="1" ht="15"/>
    <row r="457" s="77" customFormat="1" ht="15"/>
    <row r="458" s="77" customFormat="1" ht="15"/>
    <row r="459" s="77" customFormat="1" ht="15"/>
    <row r="460" s="77" customFormat="1" ht="15"/>
    <row r="461" s="77" customFormat="1" ht="15"/>
    <row r="462" s="77" customFormat="1" ht="15"/>
    <row r="463" s="77" customFormat="1" ht="15"/>
    <row r="464" s="77" customFormat="1" ht="15"/>
    <row r="465" s="77" customFormat="1" ht="15"/>
    <row r="466" s="77" customFormat="1" ht="15"/>
    <row r="467" s="77" customFormat="1" ht="15"/>
    <row r="468" s="77" customFormat="1" ht="15"/>
    <row r="469" s="77" customFormat="1" ht="15"/>
    <row r="470" s="77" customFormat="1" ht="15"/>
    <row r="471" s="77" customFormat="1" ht="15"/>
    <row r="472" s="77" customFormat="1" ht="15"/>
    <row r="473" s="77" customFormat="1" ht="15"/>
    <row r="474" s="77" customFormat="1" ht="15"/>
    <row r="475" s="77" customFormat="1" ht="15"/>
    <row r="476" s="77" customFormat="1" ht="15"/>
    <row r="477" s="77" customFormat="1" ht="15"/>
    <row r="478" s="77" customFormat="1" ht="15"/>
    <row r="479" s="77" customFormat="1" ht="15"/>
    <row r="480" s="77" customFormat="1" ht="15"/>
    <row r="481" s="77" customFormat="1" ht="15"/>
    <row r="482" s="77" customFormat="1" ht="15"/>
    <row r="483" s="77" customFormat="1" ht="15"/>
    <row r="484" s="77" customFormat="1" ht="15"/>
    <row r="485" s="77" customFormat="1" ht="15"/>
    <row r="486" s="77" customFormat="1" ht="15"/>
    <row r="487" s="77" customFormat="1" ht="15"/>
    <row r="488" s="77" customFormat="1" ht="15"/>
    <row r="489" s="77" customFormat="1" ht="15"/>
    <row r="490" s="77" customFormat="1" ht="15"/>
    <row r="491" s="77" customFormat="1" ht="15"/>
    <row r="492" s="77" customFormat="1" ht="15"/>
    <row r="493" s="77" customFormat="1" ht="15"/>
    <row r="494" s="77" customFormat="1" ht="15"/>
    <row r="495" s="77" customFormat="1" ht="15"/>
    <row r="496" s="77" customFormat="1" ht="15"/>
    <row r="497" s="77" customFormat="1" ht="15"/>
    <row r="498" s="77" customFormat="1" ht="15"/>
    <row r="499" s="77" customFormat="1" ht="15"/>
    <row r="500" s="77" customFormat="1" ht="15"/>
    <row r="501" s="77" customFormat="1" ht="15"/>
    <row r="502" s="77" customFormat="1" ht="15"/>
    <row r="503" s="77" customFormat="1" ht="15"/>
    <row r="504" s="77" customFormat="1" ht="15"/>
    <row r="505" s="77" customFormat="1" ht="15"/>
    <row r="506" s="77" customFormat="1" ht="15"/>
    <row r="507" s="77" customFormat="1" ht="15"/>
    <row r="508" s="77" customFormat="1" ht="15"/>
    <row r="509" s="77" customFormat="1" ht="15"/>
    <row r="510" s="77" customFormat="1" ht="15"/>
    <row r="511" s="77" customFormat="1" ht="15"/>
    <row r="512" s="77" customFormat="1" ht="15"/>
    <row r="513" s="77" customFormat="1" ht="15"/>
    <row r="514" s="77" customFormat="1" ht="15"/>
    <row r="515" s="77" customFormat="1" ht="15"/>
    <row r="516" s="77" customFormat="1" ht="15"/>
    <row r="517" s="77" customFormat="1" ht="15"/>
    <row r="518" s="77" customFormat="1" ht="15"/>
    <row r="519" s="77" customFormat="1" ht="15"/>
    <row r="520" s="77" customFormat="1" ht="15"/>
    <row r="521" s="77" customFormat="1" ht="15"/>
    <row r="522" s="77" customFormat="1" ht="15"/>
    <row r="523" s="77" customFormat="1" ht="15"/>
    <row r="524" s="77" customFormat="1" ht="15"/>
    <row r="525" s="77" customFormat="1" ht="15"/>
    <row r="526" s="77" customFormat="1" ht="15"/>
    <row r="527" s="77" customFormat="1" ht="15"/>
    <row r="528" s="77" customFormat="1" ht="15"/>
    <row r="529" s="77" customFormat="1" ht="15"/>
    <row r="530" s="77" customFormat="1" ht="15"/>
    <row r="531" s="77" customFormat="1" ht="15"/>
    <row r="532" s="77" customFormat="1" ht="15"/>
    <row r="533" s="77" customFormat="1" ht="15"/>
    <row r="534" s="77" customFormat="1" ht="15"/>
    <row r="535" s="77" customFormat="1" ht="15"/>
    <row r="536" s="77" customFormat="1" ht="15"/>
    <row r="537" s="77" customFormat="1" ht="15"/>
    <row r="538" s="77" customFormat="1" ht="15"/>
    <row r="539" s="77" customFormat="1" ht="15"/>
    <row r="540" s="77" customFormat="1" ht="15"/>
    <row r="541" s="77" customFormat="1" ht="15"/>
    <row r="542" s="77" customFormat="1" ht="15"/>
    <row r="543" s="77" customFormat="1" ht="15"/>
    <row r="544" s="77" customFormat="1" ht="15"/>
    <row r="545" s="77" customFormat="1" ht="15"/>
    <row r="546" s="77" customFormat="1" ht="15"/>
    <row r="547" s="77" customFormat="1" ht="15"/>
    <row r="548" s="77" customFormat="1" ht="15"/>
    <row r="549" s="77" customFormat="1" ht="15"/>
    <row r="550" s="77" customFormat="1" ht="15"/>
    <row r="551" s="77" customFormat="1" ht="15"/>
    <row r="552" s="77" customFormat="1" ht="15"/>
    <row r="553" s="77" customFormat="1" ht="15"/>
    <row r="554" s="77" customFormat="1" ht="15"/>
    <row r="555" s="77" customFormat="1" ht="15"/>
    <row r="556" s="77" customFormat="1" ht="15"/>
    <row r="557" s="77" customFormat="1" ht="15"/>
    <row r="558" s="77" customFormat="1" ht="15"/>
    <row r="559" s="77" customFormat="1" ht="15"/>
    <row r="560" s="77" customFormat="1" ht="15"/>
    <row r="561" s="77" customFormat="1" ht="15"/>
    <row r="562" s="77" customFormat="1" ht="15"/>
    <row r="563" s="77" customFormat="1" ht="15"/>
    <row r="564" s="77" customFormat="1" ht="15"/>
    <row r="565" s="77" customFormat="1" ht="15"/>
    <row r="566" s="77" customFormat="1" ht="15"/>
    <row r="567" s="77" customFormat="1" ht="15"/>
    <row r="568" s="77" customFormat="1" ht="15"/>
    <row r="569" s="77" customFormat="1" ht="15"/>
    <row r="570" s="77" customFormat="1" ht="15"/>
    <row r="571" s="77" customFormat="1" ht="15"/>
    <row r="572" s="77" customFormat="1" ht="15"/>
    <row r="573" s="77" customFormat="1" ht="15"/>
    <row r="574" s="77" customFormat="1" ht="15"/>
    <row r="575" s="77" customFormat="1" ht="15"/>
    <row r="576" s="77" customFormat="1" ht="15"/>
    <row r="577" s="77" customFormat="1" ht="15"/>
    <row r="578" s="77" customFormat="1" ht="15"/>
    <row r="579" s="77" customFormat="1" ht="15"/>
    <row r="580" s="77" customFormat="1" ht="15"/>
    <row r="581" s="77" customFormat="1" ht="15"/>
    <row r="582" s="77" customFormat="1" ht="15"/>
    <row r="583" s="77" customFormat="1" ht="15"/>
    <row r="584" s="77" customFormat="1" ht="15"/>
    <row r="585" s="77" customFormat="1" ht="15"/>
    <row r="586" s="77" customFormat="1" ht="15"/>
    <row r="587" s="77" customFormat="1" ht="15"/>
    <row r="588" s="77" customFormat="1" ht="15"/>
    <row r="589" s="77" customFormat="1" ht="15"/>
    <row r="590" s="77" customFormat="1" ht="15"/>
    <row r="591" s="77" customFormat="1" ht="15"/>
    <row r="592" s="77" customFormat="1" ht="15"/>
    <row r="593" s="77" customFormat="1" ht="15"/>
    <row r="594" s="77" customFormat="1" ht="15"/>
    <row r="595" s="77" customFormat="1" ht="15"/>
    <row r="596" s="77" customFormat="1" ht="15"/>
    <row r="597" s="77" customFormat="1" ht="15"/>
    <row r="598" s="77" customFormat="1" ht="15"/>
    <row r="599" s="77" customFormat="1" ht="15"/>
    <row r="600" s="77" customFormat="1" ht="15"/>
    <row r="601" s="77" customFormat="1" ht="15"/>
    <row r="602" s="77" customFormat="1" ht="15"/>
    <row r="603" s="77" customFormat="1" ht="15"/>
    <row r="604" s="77" customFormat="1" ht="15"/>
    <row r="605" s="77" customFormat="1" ht="15"/>
    <row r="606" s="77" customFormat="1" ht="15"/>
    <row r="607" s="77" customFormat="1" ht="15"/>
    <row r="608" s="77" customFormat="1" ht="15"/>
    <row r="609" s="77" customFormat="1" ht="15"/>
    <row r="610" s="77" customFormat="1" ht="15"/>
    <row r="611" s="77" customFormat="1" ht="15"/>
    <row r="612" s="77" customFormat="1" ht="15"/>
    <row r="613" s="77" customFormat="1" ht="15"/>
    <row r="614" s="77" customFormat="1" ht="15"/>
    <row r="615" s="77" customFormat="1" ht="15"/>
    <row r="616" s="77" customFormat="1" ht="15"/>
    <row r="617" s="77" customFormat="1" ht="15"/>
    <row r="618" s="77" customFormat="1" ht="15"/>
    <row r="619" s="77" customFormat="1" ht="15"/>
    <row r="620" s="77" customFormat="1" ht="15"/>
    <row r="621" s="77" customFormat="1" ht="15"/>
    <row r="622" s="77" customFormat="1" ht="15"/>
    <row r="623" s="77" customFormat="1" ht="15"/>
    <row r="624" s="77" customFormat="1" ht="15"/>
    <row r="625" s="77" customFormat="1" ht="15"/>
    <row r="626" s="77" customFormat="1" ht="15"/>
    <row r="627" s="77" customFormat="1" ht="15"/>
    <row r="628" s="77" customFormat="1" ht="15"/>
    <row r="629" s="77" customFormat="1" ht="15"/>
    <row r="630" s="77" customFormat="1" ht="15"/>
    <row r="631" s="77" customFormat="1" ht="15"/>
    <row r="632" s="77" customFormat="1" ht="15"/>
    <row r="633" s="77" customFormat="1" ht="15"/>
    <row r="634" s="77" customFormat="1" ht="15"/>
    <row r="635" s="77" customFormat="1" ht="15"/>
    <row r="636" s="77" customFormat="1" ht="15"/>
    <row r="637" s="77" customFormat="1" ht="15"/>
    <row r="638" s="77" customFormat="1" ht="15"/>
    <row r="639" s="77" customFormat="1" ht="15"/>
    <row r="640" s="77" customFormat="1" ht="15"/>
    <row r="641" s="77" customFormat="1" ht="15"/>
    <row r="642" s="77" customFormat="1" ht="15"/>
    <row r="643" s="77" customFormat="1" ht="15"/>
    <row r="644" s="77" customFormat="1" ht="15"/>
    <row r="645" s="77" customFormat="1" ht="15"/>
    <row r="646" s="77" customFormat="1" ht="15"/>
    <row r="647" s="77" customFormat="1" ht="15"/>
    <row r="648" s="77" customFormat="1" ht="15"/>
    <row r="649" s="77" customFormat="1" ht="15"/>
    <row r="650" s="77" customFormat="1" ht="15"/>
    <row r="651" s="77" customFormat="1" ht="15"/>
    <row r="652" s="77" customFormat="1" ht="15"/>
    <row r="653" s="77" customFormat="1" ht="15"/>
    <row r="654" s="77" customFormat="1" ht="15"/>
    <row r="655" s="77" customFormat="1" ht="15"/>
    <row r="656" s="77" customFormat="1" ht="15"/>
    <row r="657" s="77" customFormat="1" ht="15"/>
    <row r="658" s="77" customFormat="1" ht="15"/>
    <row r="659" s="77" customFormat="1" ht="15"/>
    <row r="660" s="77" customFormat="1" ht="15"/>
    <row r="661" s="77" customFormat="1" ht="15"/>
    <row r="662" s="77" customFormat="1" ht="15"/>
    <row r="663" s="77" customFormat="1" ht="15"/>
    <row r="664" s="77" customFormat="1" ht="15"/>
    <row r="665" s="77" customFormat="1" ht="15"/>
    <row r="666" s="77" customFormat="1" ht="15"/>
    <row r="667" s="77" customFormat="1" ht="15"/>
    <row r="668" s="77" customFormat="1" ht="15"/>
    <row r="669" s="77" customFormat="1" ht="15"/>
    <row r="670" s="77" customFormat="1" ht="15"/>
    <row r="671" s="77" customFormat="1" ht="15"/>
    <row r="672" s="77" customFormat="1" ht="15"/>
    <row r="673" s="77" customFormat="1" ht="15"/>
    <row r="674" s="77" customFormat="1" ht="15"/>
    <row r="675" s="77" customFormat="1" ht="15"/>
    <row r="676" s="77" customFormat="1" ht="15"/>
    <row r="677" s="77" customFormat="1" ht="15"/>
    <row r="678" s="77" customFormat="1" ht="15"/>
    <row r="679" s="77" customFormat="1" ht="15"/>
    <row r="680" s="77" customFormat="1" ht="15"/>
    <row r="681" s="77" customFormat="1" ht="15"/>
    <row r="682" s="77" customFormat="1" ht="15"/>
    <row r="683" s="77" customFormat="1" ht="15"/>
    <row r="684" s="77" customFormat="1" ht="15"/>
    <row r="685" s="77" customFormat="1" ht="15"/>
    <row r="686" s="77" customFormat="1" ht="15"/>
    <row r="687" s="77" customFormat="1" ht="15"/>
    <row r="688" s="77" customFormat="1" ht="15"/>
    <row r="689" s="77" customFormat="1" ht="15"/>
    <row r="690" s="77" customFormat="1" ht="15"/>
    <row r="691" s="77" customFormat="1" ht="15"/>
    <row r="692" s="77" customFormat="1" ht="15"/>
    <row r="693" s="77" customFormat="1" ht="15"/>
    <row r="694" s="77" customFormat="1" ht="15"/>
    <row r="695" s="77" customFormat="1" ht="15"/>
    <row r="696" s="77" customFormat="1" ht="15"/>
    <row r="697" s="77" customFormat="1" ht="15"/>
    <row r="698" s="77" customFormat="1" ht="15"/>
    <row r="699" s="77" customFormat="1" ht="15"/>
    <row r="700" s="77" customFormat="1" ht="15"/>
    <row r="701" s="77" customFormat="1" ht="15"/>
    <row r="702" s="77" customFormat="1" ht="15"/>
    <row r="703" s="77" customFormat="1" ht="15"/>
    <row r="704" s="77" customFormat="1" ht="15"/>
    <row r="705" s="77" customFormat="1" ht="15"/>
    <row r="706" s="77" customFormat="1" ht="15"/>
    <row r="707" s="77" customFormat="1" ht="15"/>
    <row r="708" s="77" customFormat="1" ht="15"/>
    <row r="709" s="77" customFormat="1" ht="15"/>
    <row r="710" s="77" customFormat="1" ht="15"/>
    <row r="711" s="77" customFormat="1" ht="15"/>
    <row r="712" s="77" customFormat="1" ht="15"/>
    <row r="713" s="77" customFormat="1" ht="15"/>
    <row r="714" s="77" customFormat="1" ht="15"/>
    <row r="715" s="77" customFormat="1" ht="15"/>
    <row r="716" s="77" customFormat="1" ht="15"/>
    <row r="717" s="77" customFormat="1" ht="15"/>
    <row r="718" s="77" customFormat="1" ht="15"/>
    <row r="719" s="77" customFormat="1" ht="15"/>
    <row r="720" s="77" customFormat="1" ht="15"/>
    <row r="721" s="77" customFormat="1" ht="15"/>
    <row r="722" s="77" customFormat="1" ht="15"/>
    <row r="723" s="77" customFormat="1" ht="15"/>
    <row r="724" s="77" customFormat="1" ht="15"/>
    <row r="725" s="77" customFormat="1" ht="15"/>
    <row r="726" s="77" customFormat="1" ht="15"/>
    <row r="727" s="77" customFormat="1" ht="15"/>
    <row r="728" s="77" customFormat="1" ht="15"/>
    <row r="729" s="77" customFormat="1" ht="15"/>
    <row r="730" s="77" customFormat="1" ht="15"/>
    <row r="731" s="77" customFormat="1" ht="15"/>
    <row r="732" s="77" customFormat="1" ht="15"/>
    <row r="733" s="77" customFormat="1" ht="15"/>
    <row r="734" s="77" customFormat="1" ht="15"/>
    <row r="735" s="77" customFormat="1" ht="15"/>
    <row r="736" s="77" customFormat="1" ht="15"/>
    <row r="737" s="77" customFormat="1" ht="15"/>
    <row r="738" s="77" customFormat="1" ht="15"/>
    <row r="739" s="77" customFormat="1" ht="15"/>
    <row r="740" s="77" customFormat="1" ht="15"/>
    <row r="741" s="77" customFormat="1" ht="15"/>
    <row r="742" s="77" customFormat="1" ht="15"/>
  </sheetData>
  <printOptions/>
  <pageMargins left="0.75" right="0.75" top="1" bottom="1" header="0.5" footer="0.5"/>
  <pageSetup horizontalDpi="600" verticalDpi="600" orientation="portrait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E169"/>
  <sheetViews>
    <sheetView view="pageBreakPreview" zoomScale="75" zoomScaleNormal="72" zoomScaleSheetLayoutView="75" workbookViewId="0" topLeftCell="A46">
      <selection activeCell="A74" sqref="A74"/>
    </sheetView>
  </sheetViews>
  <sheetFormatPr defaultColWidth="8.88671875" defaultRowHeight="15"/>
  <cols>
    <col min="1" max="1" width="36.88671875" style="0" customWidth="1"/>
    <col min="2" max="2" width="10.3359375" style="0" customWidth="1"/>
    <col min="3" max="3" width="14.3359375" style="0" customWidth="1"/>
    <col min="4" max="4" width="13.6640625" style="0" customWidth="1"/>
    <col min="5" max="16384" width="28.10546875" style="0" customWidth="1"/>
  </cols>
  <sheetData>
    <row r="1" spans="1:5" ht="15">
      <c r="A1" s="423" t="s">
        <v>468</v>
      </c>
      <c r="B1" s="424"/>
      <c r="C1" s="424"/>
      <c r="D1" s="424"/>
      <c r="E1" s="424"/>
    </row>
    <row r="2" spans="1:5" ht="15">
      <c r="A2" s="423" t="s">
        <v>873</v>
      </c>
      <c r="B2" s="424" t="s">
        <v>874</v>
      </c>
      <c r="C2" s="424">
        <v>382500505.33</v>
      </c>
      <c r="D2" s="424">
        <v>2061000</v>
      </c>
      <c r="E2" s="424">
        <v>380439505.33</v>
      </c>
    </row>
    <row r="3" spans="1:5" ht="15">
      <c r="A3" s="423" t="s">
        <v>875</v>
      </c>
      <c r="B3" s="424" t="s">
        <v>876</v>
      </c>
      <c r="C3" s="424">
        <v>801473.34</v>
      </c>
      <c r="D3" s="424">
        <v>0</v>
      </c>
      <c r="E3" s="424">
        <v>801473.34</v>
      </c>
    </row>
    <row r="4" spans="1:5" ht="15">
      <c r="A4" s="423" t="s">
        <v>877</v>
      </c>
      <c r="B4" s="424" t="s">
        <v>878</v>
      </c>
      <c r="C4" s="424">
        <v>5764000</v>
      </c>
      <c r="D4" s="424">
        <v>0</v>
      </c>
      <c r="E4" s="424">
        <v>5764000</v>
      </c>
    </row>
    <row r="5" spans="1:5" ht="15">
      <c r="A5" s="423" t="s">
        <v>879</v>
      </c>
      <c r="B5" s="424" t="s">
        <v>880</v>
      </c>
      <c r="C5" s="424">
        <v>60950000</v>
      </c>
      <c r="D5" s="424">
        <v>31622000</v>
      </c>
      <c r="E5" s="424">
        <v>29328000</v>
      </c>
    </row>
    <row r="6" spans="1:5" ht="15">
      <c r="A6" s="423" t="s">
        <v>881</v>
      </c>
      <c r="B6" s="424" t="s">
        <v>882</v>
      </c>
      <c r="C6" s="424">
        <v>145000</v>
      </c>
      <c r="D6" s="424">
        <v>0</v>
      </c>
      <c r="E6" s="424">
        <v>145000</v>
      </c>
    </row>
    <row r="7" spans="1:5" ht="15">
      <c r="A7" s="423" t="s">
        <v>883</v>
      </c>
      <c r="B7" s="424" t="s">
        <v>884</v>
      </c>
      <c r="C7" s="424">
        <v>23470066.31</v>
      </c>
      <c r="D7" s="424">
        <v>0</v>
      </c>
      <c r="E7" s="424">
        <v>23470066.31</v>
      </c>
    </row>
    <row r="8" spans="1:5" ht="15">
      <c r="A8" s="423" t="s">
        <v>460</v>
      </c>
      <c r="B8" s="424" t="s">
        <v>461</v>
      </c>
      <c r="C8" s="424">
        <v>576000</v>
      </c>
      <c r="D8" s="424">
        <v>0</v>
      </c>
      <c r="E8" s="424">
        <v>576000</v>
      </c>
    </row>
    <row r="9" spans="1:5" ht="15">
      <c r="A9" s="423" t="s">
        <v>885</v>
      </c>
      <c r="B9" s="424" t="s">
        <v>886</v>
      </c>
      <c r="C9" s="424">
        <v>35139000</v>
      </c>
      <c r="D9" s="424">
        <v>0</v>
      </c>
      <c r="E9" s="424">
        <v>35139000</v>
      </c>
    </row>
    <row r="10" spans="1:5" ht="15">
      <c r="A10" s="423" t="s">
        <v>302</v>
      </c>
      <c r="B10" s="424" t="s">
        <v>303</v>
      </c>
      <c r="C10" s="424">
        <v>28786000</v>
      </c>
      <c r="D10" s="424">
        <v>0</v>
      </c>
      <c r="E10" s="424">
        <v>28786000</v>
      </c>
    </row>
    <row r="11" spans="1:5" ht="15">
      <c r="A11" s="423" t="s">
        <v>304</v>
      </c>
      <c r="B11" s="424" t="s">
        <v>305</v>
      </c>
      <c r="C11" s="424">
        <v>251317000</v>
      </c>
      <c r="D11" s="424">
        <v>0</v>
      </c>
      <c r="E11" s="424">
        <v>251317000</v>
      </c>
    </row>
    <row r="12" spans="1:5" ht="15">
      <c r="A12" s="423" t="s">
        <v>306</v>
      </c>
      <c r="B12" s="424" t="s">
        <v>307</v>
      </c>
      <c r="C12" s="424">
        <v>587579000</v>
      </c>
      <c r="D12" s="424">
        <v>0</v>
      </c>
      <c r="E12" s="424">
        <v>587579000</v>
      </c>
    </row>
    <row r="13" spans="1:5" ht="15">
      <c r="A13" s="423" t="s">
        <v>308</v>
      </c>
      <c r="B13" s="424" t="s">
        <v>309</v>
      </c>
      <c r="C13" s="424">
        <v>1000000</v>
      </c>
      <c r="D13" s="424">
        <v>0</v>
      </c>
      <c r="E13" s="424">
        <v>1000000</v>
      </c>
    </row>
    <row r="14" spans="1:5" ht="15">
      <c r="A14" s="423" t="s">
        <v>310</v>
      </c>
      <c r="B14" s="424" t="s">
        <v>311</v>
      </c>
      <c r="C14" s="424">
        <v>765780000</v>
      </c>
      <c r="D14" s="424">
        <v>0</v>
      </c>
      <c r="E14" s="424">
        <v>765780000</v>
      </c>
    </row>
    <row r="15" spans="1:5" ht="15">
      <c r="A15" s="423" t="s">
        <v>312</v>
      </c>
      <c r="B15" s="424" t="s">
        <v>313</v>
      </c>
      <c r="C15" s="424">
        <v>54691701000</v>
      </c>
      <c r="D15" s="424">
        <v>0</v>
      </c>
      <c r="E15" s="424">
        <v>54691701000</v>
      </c>
    </row>
    <row r="16" spans="1:5" ht="15">
      <c r="A16" s="423" t="s">
        <v>314</v>
      </c>
      <c r="B16" s="424" t="s">
        <v>315</v>
      </c>
      <c r="C16" s="424">
        <v>22485452.79</v>
      </c>
      <c r="D16" s="424">
        <v>0</v>
      </c>
      <c r="E16" s="424">
        <v>22485452.79</v>
      </c>
    </row>
    <row r="17" spans="1:5" ht="15">
      <c r="A17" s="423" t="s">
        <v>316</v>
      </c>
      <c r="B17" s="424" t="s">
        <v>317</v>
      </c>
      <c r="C17" s="424">
        <v>4022000</v>
      </c>
      <c r="D17" s="424">
        <v>0</v>
      </c>
      <c r="E17" s="424">
        <v>4022000</v>
      </c>
    </row>
    <row r="18" spans="1:5" ht="15">
      <c r="A18" s="423" t="s">
        <v>462</v>
      </c>
      <c r="B18" s="424" t="s">
        <v>517</v>
      </c>
      <c r="C18" s="424">
        <v>75329000</v>
      </c>
      <c r="D18" s="424">
        <v>0</v>
      </c>
      <c r="E18" s="424">
        <v>75329000</v>
      </c>
    </row>
    <row r="19" spans="1:5" ht="15">
      <c r="A19" s="423" t="s">
        <v>462</v>
      </c>
      <c r="B19" s="424" t="s">
        <v>1138</v>
      </c>
      <c r="C19" s="424">
        <v>376910000</v>
      </c>
      <c r="D19" s="424">
        <v>0</v>
      </c>
      <c r="E19" s="424">
        <v>376910000</v>
      </c>
    </row>
    <row r="20" spans="1:5" ht="15">
      <c r="A20" s="423" t="s">
        <v>318</v>
      </c>
      <c r="B20" s="424" t="s">
        <v>319</v>
      </c>
      <c r="C20" s="424">
        <v>1593000</v>
      </c>
      <c r="D20" s="424">
        <v>0</v>
      </c>
      <c r="E20" s="424">
        <v>1593000</v>
      </c>
    </row>
    <row r="21" spans="1:5" ht="15">
      <c r="A21" s="423" t="s">
        <v>469</v>
      </c>
      <c r="B21" s="424"/>
      <c r="C21" s="424"/>
      <c r="D21" s="424"/>
      <c r="E21" s="424"/>
    </row>
    <row r="22" spans="1:5" ht="15">
      <c r="A22" s="423" t="s">
        <v>320</v>
      </c>
      <c r="B22" s="424" t="s">
        <v>321</v>
      </c>
      <c r="C22" s="424">
        <v>1994043540.81</v>
      </c>
      <c r="D22" s="424">
        <v>0</v>
      </c>
      <c r="E22" s="424">
        <v>1994043540.81</v>
      </c>
    </row>
    <row r="23" spans="1:5" ht="15">
      <c r="A23" s="423" t="s">
        <v>322</v>
      </c>
      <c r="B23" s="424" t="s">
        <v>323</v>
      </c>
      <c r="C23" s="424">
        <v>11933652000</v>
      </c>
      <c r="D23" s="424">
        <v>778436000</v>
      </c>
      <c r="E23" s="424">
        <v>11155216000</v>
      </c>
    </row>
    <row r="24" spans="1:5" ht="15">
      <c r="A24" s="423" t="s">
        <v>324</v>
      </c>
      <c r="B24" s="424" t="s">
        <v>325</v>
      </c>
      <c r="C24" s="424">
        <v>1083000</v>
      </c>
      <c r="D24" s="424">
        <v>0</v>
      </c>
      <c r="E24" s="424">
        <v>1083000</v>
      </c>
    </row>
    <row r="25" spans="1:5" ht="15">
      <c r="A25" s="423" t="s">
        <v>326</v>
      </c>
      <c r="B25" s="424" t="s">
        <v>327</v>
      </c>
      <c r="C25" s="424">
        <v>1407572000</v>
      </c>
      <c r="D25" s="424">
        <v>0</v>
      </c>
      <c r="E25" s="424">
        <v>1407572000</v>
      </c>
    </row>
    <row r="26" spans="1:5" ht="15">
      <c r="A26" s="423" t="s">
        <v>328</v>
      </c>
      <c r="B26" s="424" t="s">
        <v>329</v>
      </c>
      <c r="C26" s="424">
        <v>87311698.19</v>
      </c>
      <c r="D26" s="424">
        <v>0</v>
      </c>
      <c r="E26" s="424">
        <v>87311698.19</v>
      </c>
    </row>
    <row r="27" spans="1:5" ht="15">
      <c r="A27" s="423" t="s">
        <v>330</v>
      </c>
      <c r="B27" s="424" t="s">
        <v>331</v>
      </c>
      <c r="C27" s="424">
        <v>364941000</v>
      </c>
      <c r="D27" s="424">
        <v>0</v>
      </c>
      <c r="E27" s="424">
        <v>364941000</v>
      </c>
    </row>
    <row r="28" spans="1:5" ht="15">
      <c r="A28" s="423" t="s">
        <v>332</v>
      </c>
      <c r="B28" s="424" t="s">
        <v>333</v>
      </c>
      <c r="C28" s="424">
        <v>578022000</v>
      </c>
      <c r="D28" s="424">
        <v>0</v>
      </c>
      <c r="E28" s="424">
        <v>578022000</v>
      </c>
    </row>
    <row r="29" spans="1:5" ht="15">
      <c r="A29" s="423" t="s">
        <v>334</v>
      </c>
      <c r="B29" s="424" t="s">
        <v>335</v>
      </c>
      <c r="C29" s="424">
        <v>351488000</v>
      </c>
      <c r="D29" s="424">
        <v>0</v>
      </c>
      <c r="E29" s="424">
        <v>351488000</v>
      </c>
    </row>
    <row r="30" spans="1:5" ht="15">
      <c r="A30" s="423" t="s">
        <v>336</v>
      </c>
      <c r="B30" s="424" t="s">
        <v>337</v>
      </c>
      <c r="C30" s="424">
        <v>33442479450</v>
      </c>
      <c r="D30" s="424">
        <v>1480000000</v>
      </c>
      <c r="E30" s="424">
        <v>31962479450</v>
      </c>
    </row>
    <row r="31" spans="1:5" ht="15">
      <c r="A31" s="423" t="s">
        <v>338</v>
      </c>
      <c r="B31" s="424" t="s">
        <v>339</v>
      </c>
      <c r="C31" s="424">
        <v>739000</v>
      </c>
      <c r="D31" s="424">
        <v>0</v>
      </c>
      <c r="E31" s="424">
        <v>739000</v>
      </c>
    </row>
    <row r="32" spans="1:5" ht="15">
      <c r="A32" s="423" t="s">
        <v>462</v>
      </c>
      <c r="B32" s="424" t="s">
        <v>340</v>
      </c>
      <c r="C32" s="424">
        <v>1677000</v>
      </c>
      <c r="D32" s="424">
        <v>0</v>
      </c>
      <c r="E32" s="424">
        <v>1677000</v>
      </c>
    </row>
    <row r="33" spans="1:5" ht="15">
      <c r="A33" s="423" t="s">
        <v>440</v>
      </c>
      <c r="B33" s="424" t="s">
        <v>441</v>
      </c>
      <c r="C33" s="424">
        <v>20000</v>
      </c>
      <c r="D33" s="424">
        <v>0</v>
      </c>
      <c r="E33" s="424">
        <v>20000</v>
      </c>
    </row>
    <row r="34" spans="1:5" ht="15">
      <c r="A34" s="423" t="s">
        <v>912</v>
      </c>
      <c r="B34" s="424" t="s">
        <v>913</v>
      </c>
      <c r="C34" s="424">
        <v>72588000</v>
      </c>
      <c r="D34" s="424">
        <v>0</v>
      </c>
      <c r="E34" s="424">
        <v>72588000</v>
      </c>
    </row>
    <row r="35" spans="1:5" ht="15">
      <c r="A35" s="423" t="s">
        <v>914</v>
      </c>
      <c r="B35" s="424" t="s">
        <v>915</v>
      </c>
      <c r="C35" s="424">
        <v>23896248.51</v>
      </c>
      <c r="D35" s="424">
        <v>0</v>
      </c>
      <c r="E35" s="424">
        <v>23896248.51</v>
      </c>
    </row>
    <row r="36" spans="1:5" ht="15">
      <c r="A36" s="423" t="s">
        <v>916</v>
      </c>
      <c r="B36" s="424" t="s">
        <v>917</v>
      </c>
      <c r="C36" s="424">
        <v>2710000</v>
      </c>
      <c r="D36" s="424">
        <v>0</v>
      </c>
      <c r="E36" s="424">
        <v>2710000</v>
      </c>
    </row>
    <row r="37" spans="1:5" ht="15">
      <c r="A37" s="423" t="s">
        <v>918</v>
      </c>
      <c r="B37" s="424" t="s">
        <v>919</v>
      </c>
      <c r="C37" s="424">
        <v>716494599600.98</v>
      </c>
      <c r="D37" s="424">
        <v>105728748600.98</v>
      </c>
      <c r="E37" s="424">
        <v>610765851000</v>
      </c>
    </row>
    <row r="38" spans="1:5" ht="15">
      <c r="A38" s="423" t="s">
        <v>920</v>
      </c>
      <c r="B38" s="424" t="s">
        <v>921</v>
      </c>
      <c r="C38" s="424">
        <v>12054000</v>
      </c>
      <c r="D38" s="424">
        <v>0</v>
      </c>
      <c r="E38" s="424">
        <v>12054000</v>
      </c>
    </row>
    <row r="39" spans="1:5" ht="15">
      <c r="A39" s="423" t="s">
        <v>462</v>
      </c>
      <c r="B39" s="424" t="s">
        <v>922</v>
      </c>
      <c r="C39" s="424">
        <v>1270000</v>
      </c>
      <c r="D39" s="424">
        <v>0</v>
      </c>
      <c r="E39" s="424">
        <v>1270000</v>
      </c>
    </row>
    <row r="40" spans="1:5" ht="15">
      <c r="A40" s="423" t="s">
        <v>923</v>
      </c>
      <c r="B40" s="424" t="s">
        <v>924</v>
      </c>
      <c r="C40" s="424">
        <v>9317000</v>
      </c>
      <c r="D40" s="424">
        <v>0</v>
      </c>
      <c r="E40" s="424">
        <v>9317000</v>
      </c>
    </row>
    <row r="41" spans="1:5" ht="15">
      <c r="A41" s="423" t="s">
        <v>925</v>
      </c>
      <c r="B41" s="424" t="s">
        <v>926</v>
      </c>
      <c r="C41" s="424">
        <v>4000000</v>
      </c>
      <c r="D41" s="424">
        <v>0</v>
      </c>
      <c r="E41" s="424">
        <v>4000000</v>
      </c>
    </row>
    <row r="42" spans="1:5" ht="15">
      <c r="A42" s="423" t="s">
        <v>927</v>
      </c>
      <c r="B42" s="424" t="s">
        <v>928</v>
      </c>
      <c r="C42" s="424">
        <v>20708000</v>
      </c>
      <c r="D42" s="424">
        <v>0</v>
      </c>
      <c r="E42" s="424">
        <v>20708000</v>
      </c>
    </row>
    <row r="43" spans="1:5" ht="15">
      <c r="A43" s="423" t="s">
        <v>929</v>
      </c>
      <c r="B43" s="424" t="s">
        <v>930</v>
      </c>
      <c r="C43" s="424">
        <v>10014000</v>
      </c>
      <c r="D43" s="424">
        <v>0</v>
      </c>
      <c r="E43" s="424">
        <v>10014000</v>
      </c>
    </row>
    <row r="44" spans="1:5" ht="15">
      <c r="A44" s="423" t="s">
        <v>1139</v>
      </c>
      <c r="B44" s="424" t="s">
        <v>1140</v>
      </c>
      <c r="C44" s="424">
        <v>1000</v>
      </c>
      <c r="D44" s="424">
        <v>0</v>
      </c>
      <c r="E44" s="424">
        <v>1000</v>
      </c>
    </row>
    <row r="45" spans="1:5" ht="15">
      <c r="A45" s="423" t="s">
        <v>931</v>
      </c>
      <c r="B45" s="424" t="s">
        <v>932</v>
      </c>
      <c r="C45" s="424">
        <v>972643071.71</v>
      </c>
      <c r="D45" s="424">
        <v>0</v>
      </c>
      <c r="E45" s="424">
        <v>972643071.71</v>
      </c>
    </row>
    <row r="46" spans="1:5" ht="15">
      <c r="A46" s="423" t="s">
        <v>933</v>
      </c>
      <c r="B46" s="424" t="s">
        <v>934</v>
      </c>
      <c r="C46" s="424">
        <v>34982696832.47</v>
      </c>
      <c r="D46" s="424">
        <v>0</v>
      </c>
      <c r="E46" s="424">
        <v>34982696832.47</v>
      </c>
    </row>
    <row r="47" spans="1:5" ht="15">
      <c r="A47" s="423" t="s">
        <v>935</v>
      </c>
      <c r="B47" s="424" t="s">
        <v>936</v>
      </c>
      <c r="C47" s="424">
        <v>183779323004.56</v>
      </c>
      <c r="D47" s="424">
        <v>5000250000</v>
      </c>
      <c r="E47" s="424">
        <v>178779073004.56</v>
      </c>
    </row>
    <row r="48" spans="1:5" ht="15">
      <c r="A48" s="423" t="s">
        <v>452</v>
      </c>
      <c r="B48" s="424" t="s">
        <v>453</v>
      </c>
      <c r="C48" s="424">
        <v>708000</v>
      </c>
      <c r="D48" s="424">
        <v>0</v>
      </c>
      <c r="E48" s="424">
        <v>708000</v>
      </c>
    </row>
    <row r="49" spans="1:5" ht="15">
      <c r="A49" s="423" t="s">
        <v>454</v>
      </c>
      <c r="B49" s="424" t="s">
        <v>455</v>
      </c>
      <c r="C49" s="424">
        <v>3038000</v>
      </c>
      <c r="D49" s="424">
        <v>0</v>
      </c>
      <c r="E49" s="424">
        <v>3038000</v>
      </c>
    </row>
    <row r="50" spans="1:5" ht="15">
      <c r="A50" s="423" t="s">
        <v>456</v>
      </c>
      <c r="B50" s="424" t="s">
        <v>457</v>
      </c>
      <c r="C50" s="424">
        <v>2446000</v>
      </c>
      <c r="D50" s="424">
        <v>0</v>
      </c>
      <c r="E50" s="424">
        <v>2446000</v>
      </c>
    </row>
    <row r="51" spans="1:5" ht="15">
      <c r="A51" s="423" t="s">
        <v>1141</v>
      </c>
      <c r="B51" s="424" t="s">
        <v>458</v>
      </c>
      <c r="C51" s="424">
        <v>92515000</v>
      </c>
      <c r="D51" s="424">
        <v>0</v>
      </c>
      <c r="E51" s="424">
        <v>92515000</v>
      </c>
    </row>
    <row r="52" spans="1:5" ht="15">
      <c r="A52" s="423" t="s">
        <v>784</v>
      </c>
      <c r="B52" s="424" t="s">
        <v>785</v>
      </c>
      <c r="C52" s="424">
        <v>1755072000</v>
      </c>
      <c r="D52" s="424">
        <v>0</v>
      </c>
      <c r="E52" s="424">
        <v>1755072000</v>
      </c>
    </row>
    <row r="53" spans="1:5" ht="15">
      <c r="A53" s="423" t="s">
        <v>786</v>
      </c>
      <c r="B53" s="424" t="s">
        <v>787</v>
      </c>
      <c r="C53" s="424">
        <v>8734000</v>
      </c>
      <c r="D53" s="424">
        <v>1200000</v>
      </c>
      <c r="E53" s="424">
        <v>7534000</v>
      </c>
    </row>
    <row r="54" spans="1:5" ht="15">
      <c r="A54" s="423" t="s">
        <v>788</v>
      </c>
      <c r="B54" s="424" t="s">
        <v>789</v>
      </c>
      <c r="C54" s="424">
        <v>12416705000</v>
      </c>
      <c r="D54" s="424">
        <v>1831962000</v>
      </c>
      <c r="E54" s="424">
        <v>10584743000</v>
      </c>
    </row>
    <row r="55" spans="1:5" ht="15">
      <c r="A55" s="423" t="s">
        <v>790</v>
      </c>
      <c r="B55" s="424" t="s">
        <v>791</v>
      </c>
      <c r="C55" s="424">
        <v>27805933000</v>
      </c>
      <c r="D55" s="424">
        <v>0</v>
      </c>
      <c r="E55" s="424">
        <v>27805933000</v>
      </c>
    </row>
    <row r="56" spans="1:5" ht="15">
      <c r="A56" s="423" t="s">
        <v>792</v>
      </c>
      <c r="B56" s="424" t="s">
        <v>793</v>
      </c>
      <c r="C56" s="424">
        <v>557000</v>
      </c>
      <c r="D56" s="424">
        <v>0</v>
      </c>
      <c r="E56" s="424">
        <v>557000</v>
      </c>
    </row>
    <row r="57" spans="1:5" ht="15">
      <c r="A57" s="423" t="s">
        <v>956</v>
      </c>
      <c r="B57" s="424" t="s">
        <v>957</v>
      </c>
      <c r="C57" s="424">
        <v>93745000</v>
      </c>
      <c r="D57" s="424">
        <v>0</v>
      </c>
      <c r="E57" s="424">
        <v>93745000</v>
      </c>
    </row>
    <row r="58" spans="1:5" ht="15">
      <c r="A58" s="423" t="s">
        <v>958</v>
      </c>
      <c r="B58" s="424" t="s">
        <v>959</v>
      </c>
      <c r="C58" s="424">
        <v>954204000</v>
      </c>
      <c r="D58" s="424">
        <v>0</v>
      </c>
      <c r="E58" s="424">
        <v>954204000</v>
      </c>
    </row>
    <row r="59" spans="1:5" ht="15">
      <c r="A59" s="423" t="s">
        <v>960</v>
      </c>
      <c r="B59" s="424" t="s">
        <v>961</v>
      </c>
      <c r="C59" s="424">
        <v>310000</v>
      </c>
      <c r="D59" s="424">
        <v>0</v>
      </c>
      <c r="E59" s="424">
        <v>310000</v>
      </c>
    </row>
    <row r="60" spans="1:5" ht="15">
      <c r="A60" s="423" t="s">
        <v>962</v>
      </c>
      <c r="B60" s="424" t="s">
        <v>963</v>
      </c>
      <c r="C60" s="424">
        <v>10365865339.38</v>
      </c>
      <c r="D60" s="424">
        <v>0</v>
      </c>
      <c r="E60" s="424">
        <v>10365865339.38</v>
      </c>
    </row>
    <row r="61" spans="1:5" ht="15">
      <c r="A61" s="423" t="s">
        <v>964</v>
      </c>
      <c r="B61" s="424" t="s">
        <v>965</v>
      </c>
      <c r="C61" s="424">
        <v>137888000</v>
      </c>
      <c r="D61" s="424">
        <v>12669000</v>
      </c>
      <c r="E61" s="424">
        <v>125219000</v>
      </c>
    </row>
    <row r="62" spans="1:5" ht="15">
      <c r="A62" s="423" t="s">
        <v>475</v>
      </c>
      <c r="B62" s="424" t="s">
        <v>476</v>
      </c>
      <c r="C62" s="424">
        <v>23248023</v>
      </c>
      <c r="D62" s="424">
        <v>0</v>
      </c>
      <c r="E62" s="424">
        <v>23248023</v>
      </c>
    </row>
    <row r="63" spans="1:5" ht="15">
      <c r="A63" s="423" t="s">
        <v>582</v>
      </c>
      <c r="B63" s="424" t="s">
        <v>583</v>
      </c>
      <c r="C63" s="424">
        <v>1992977000</v>
      </c>
      <c r="D63" s="424">
        <v>0</v>
      </c>
      <c r="E63" s="424">
        <v>1992977000</v>
      </c>
    </row>
    <row r="64" spans="1:5" ht="15">
      <c r="A64" s="423" t="s">
        <v>584</v>
      </c>
      <c r="B64" s="424" t="s">
        <v>585</v>
      </c>
      <c r="C64" s="424">
        <v>427189000</v>
      </c>
      <c r="D64" s="424">
        <v>6000000</v>
      </c>
      <c r="E64" s="424">
        <v>421189000</v>
      </c>
    </row>
    <row r="65" spans="1:5" ht="15">
      <c r="A65" s="423" t="s">
        <v>586</v>
      </c>
      <c r="B65" s="424" t="s">
        <v>587</v>
      </c>
      <c r="C65" s="424">
        <v>187865840000</v>
      </c>
      <c r="D65" s="424">
        <v>4517776000</v>
      </c>
      <c r="E65" s="424">
        <v>183348064000</v>
      </c>
    </row>
    <row r="66" spans="1:5" ht="15">
      <c r="A66" s="423" t="s">
        <v>588</v>
      </c>
      <c r="B66" s="424" t="s">
        <v>589</v>
      </c>
      <c r="C66" s="424">
        <v>269053575000</v>
      </c>
      <c r="D66" s="424">
        <v>5771622000</v>
      </c>
      <c r="E66" s="424">
        <v>263281953000</v>
      </c>
    </row>
    <row r="67" spans="1:5" ht="15">
      <c r="A67" s="423" t="s">
        <v>518</v>
      </c>
      <c r="B67" s="424" t="s">
        <v>519</v>
      </c>
      <c r="C67" s="424">
        <v>6029000</v>
      </c>
      <c r="D67" s="424">
        <v>0</v>
      </c>
      <c r="E67" s="424">
        <v>6029000</v>
      </c>
    </row>
    <row r="68" spans="1:5" ht="15">
      <c r="A68" s="423" t="s">
        <v>590</v>
      </c>
      <c r="B68" s="424" t="s">
        <v>591</v>
      </c>
      <c r="C68" s="424">
        <v>2780000</v>
      </c>
      <c r="D68" s="424">
        <v>0</v>
      </c>
      <c r="E68" s="424">
        <v>2780000</v>
      </c>
    </row>
    <row r="69" spans="1:5" ht="15">
      <c r="A69" s="423" t="s">
        <v>520</v>
      </c>
      <c r="B69" s="424" t="s">
        <v>521</v>
      </c>
      <c r="C69" s="424">
        <v>60000</v>
      </c>
      <c r="D69" s="424">
        <v>0</v>
      </c>
      <c r="E69" s="424">
        <v>60000</v>
      </c>
    </row>
    <row r="70" spans="1:5" ht="15">
      <c r="A70" s="423" t="s">
        <v>462</v>
      </c>
      <c r="B70" s="424" t="s">
        <v>592</v>
      </c>
      <c r="C70" s="424">
        <v>22328465000</v>
      </c>
      <c r="D70" s="424">
        <v>0</v>
      </c>
      <c r="E70" s="424">
        <v>22328465000</v>
      </c>
    </row>
    <row r="71" spans="1:5" ht="15">
      <c r="A71" s="423" t="s">
        <v>593</v>
      </c>
      <c r="B71" s="424" t="s">
        <v>594</v>
      </c>
      <c r="C71" s="424">
        <v>1461337539000</v>
      </c>
      <c r="D71" s="424">
        <v>15978737000</v>
      </c>
      <c r="E71" s="424">
        <v>1445358802000</v>
      </c>
    </row>
    <row r="72" spans="1:5" ht="15">
      <c r="A72" s="423" t="s">
        <v>595</v>
      </c>
      <c r="B72" s="424" t="s">
        <v>596</v>
      </c>
      <c r="C72" s="424">
        <v>1706091000</v>
      </c>
      <c r="D72" s="424">
        <v>0</v>
      </c>
      <c r="E72" s="424">
        <v>1706091000</v>
      </c>
    </row>
    <row r="73" spans="1:5" ht="15">
      <c r="A73" s="423" t="s">
        <v>597</v>
      </c>
      <c r="B73" s="424" t="s">
        <v>598</v>
      </c>
      <c r="C73" s="424">
        <v>38488776000</v>
      </c>
      <c r="D73" s="424">
        <v>14848995000</v>
      </c>
      <c r="E73" s="424">
        <v>23639781000</v>
      </c>
    </row>
    <row r="74" spans="1:5" ht="15">
      <c r="A74" s="423" t="s">
        <v>463</v>
      </c>
      <c r="B74" s="424" t="s">
        <v>464</v>
      </c>
      <c r="C74" s="424">
        <v>501000</v>
      </c>
      <c r="D74" s="424">
        <v>0</v>
      </c>
      <c r="E74" s="424">
        <v>501000</v>
      </c>
    </row>
    <row r="75" spans="1:5" ht="15">
      <c r="A75" s="423" t="s">
        <v>465</v>
      </c>
      <c r="B75" s="424" t="s">
        <v>466</v>
      </c>
      <c r="C75" s="424">
        <v>1002000</v>
      </c>
      <c r="D75" s="424">
        <v>0</v>
      </c>
      <c r="E75" s="424">
        <v>1002000</v>
      </c>
    </row>
    <row r="76" spans="1:5" ht="15">
      <c r="A76" s="423" t="s">
        <v>599</v>
      </c>
      <c r="B76" s="424" t="s">
        <v>600</v>
      </c>
      <c r="C76" s="424">
        <v>12829433000</v>
      </c>
      <c r="D76" s="424">
        <v>16797000</v>
      </c>
      <c r="E76" s="424">
        <v>12812636000</v>
      </c>
    </row>
    <row r="77" spans="1:5" ht="15">
      <c r="A77" s="423" t="s">
        <v>601</v>
      </c>
      <c r="B77" s="424" t="s">
        <v>602</v>
      </c>
      <c r="C77" s="424">
        <v>2969319000</v>
      </c>
      <c r="D77" s="424">
        <v>0</v>
      </c>
      <c r="E77" s="424">
        <v>2969319000</v>
      </c>
    </row>
    <row r="78" spans="1:5" ht="15">
      <c r="A78" s="423" t="s">
        <v>603</v>
      </c>
      <c r="B78" s="424" t="s">
        <v>604</v>
      </c>
      <c r="C78" s="424">
        <v>57189000</v>
      </c>
      <c r="D78" s="424">
        <v>0</v>
      </c>
      <c r="E78" s="424">
        <v>57189000</v>
      </c>
    </row>
    <row r="79" spans="1:5" ht="15">
      <c r="A79" s="423" t="s">
        <v>605</v>
      </c>
      <c r="B79" s="424" t="s">
        <v>606</v>
      </c>
      <c r="C79" s="424">
        <v>4617000</v>
      </c>
      <c r="D79" s="424">
        <v>0</v>
      </c>
      <c r="E79" s="424">
        <v>4617000</v>
      </c>
    </row>
    <row r="80" spans="1:5" ht="15">
      <c r="A80" s="423" t="s">
        <v>607</v>
      </c>
      <c r="B80" s="424" t="s">
        <v>608</v>
      </c>
      <c r="C80" s="424">
        <v>1000</v>
      </c>
      <c r="D80" s="424">
        <v>0</v>
      </c>
      <c r="E80" s="424">
        <v>1000</v>
      </c>
    </row>
    <row r="81" spans="1:5" ht="15">
      <c r="A81" s="423" t="s">
        <v>609</v>
      </c>
      <c r="B81" s="424" t="s">
        <v>610</v>
      </c>
      <c r="C81" s="424">
        <v>812083.92</v>
      </c>
      <c r="D81" s="424">
        <v>0</v>
      </c>
      <c r="E81" s="424">
        <v>812083.92</v>
      </c>
    </row>
    <row r="82" spans="1:5" ht="15">
      <c r="A82" s="423" t="s">
        <v>721</v>
      </c>
      <c r="B82" s="424" t="s">
        <v>722</v>
      </c>
      <c r="C82" s="424">
        <v>30000</v>
      </c>
      <c r="D82" s="424">
        <v>0</v>
      </c>
      <c r="E82" s="424">
        <v>30000</v>
      </c>
    </row>
    <row r="83" spans="1:5" ht="15">
      <c r="A83" s="423" t="s">
        <v>723</v>
      </c>
      <c r="B83" s="424" t="s">
        <v>724</v>
      </c>
      <c r="C83" s="424">
        <v>832000</v>
      </c>
      <c r="D83" s="424">
        <v>0</v>
      </c>
      <c r="E83" s="424">
        <v>832000</v>
      </c>
    </row>
    <row r="84" spans="1:5" ht="15">
      <c r="A84" s="423" t="s">
        <v>725</v>
      </c>
      <c r="B84" s="424" t="s">
        <v>726</v>
      </c>
      <c r="C84" s="424">
        <v>7528199000</v>
      </c>
      <c r="D84" s="424">
        <v>0</v>
      </c>
      <c r="E84" s="424">
        <v>7528199000</v>
      </c>
    </row>
    <row r="85" spans="1:5" ht="15">
      <c r="A85" s="423" t="s">
        <v>727</v>
      </c>
      <c r="B85" s="424" t="s">
        <v>728</v>
      </c>
      <c r="C85" s="424">
        <v>2139976000</v>
      </c>
      <c r="D85" s="424">
        <v>0</v>
      </c>
      <c r="E85" s="424">
        <v>2139976000</v>
      </c>
    </row>
    <row r="86" spans="1:5" ht="15">
      <c r="A86" s="423" t="s">
        <v>729</v>
      </c>
      <c r="B86" s="424" t="s">
        <v>730</v>
      </c>
      <c r="C86" s="424">
        <v>54759000</v>
      </c>
      <c r="D86" s="424">
        <v>0</v>
      </c>
      <c r="E86" s="424">
        <v>54759000</v>
      </c>
    </row>
    <row r="87" spans="1:5" ht="15">
      <c r="A87" s="423" t="s">
        <v>462</v>
      </c>
      <c r="B87" s="424" t="s">
        <v>731</v>
      </c>
      <c r="C87" s="424">
        <v>2187686000</v>
      </c>
      <c r="D87" s="424">
        <v>0</v>
      </c>
      <c r="E87" s="424">
        <v>2187686000</v>
      </c>
    </row>
    <row r="88" spans="1:5" ht="15">
      <c r="A88" s="423" t="s">
        <v>732</v>
      </c>
      <c r="B88" s="424" t="s">
        <v>733</v>
      </c>
      <c r="C88" s="424">
        <v>16737851000</v>
      </c>
      <c r="D88" s="424">
        <v>3003924000</v>
      </c>
      <c r="E88" s="424">
        <v>13733927000</v>
      </c>
    </row>
    <row r="89" spans="1:5" ht="15">
      <c r="A89" s="423" t="s">
        <v>1142</v>
      </c>
      <c r="B89" s="424" t="s">
        <v>1144</v>
      </c>
      <c r="C89" s="424">
        <v>4330520.25</v>
      </c>
      <c r="D89" s="424">
        <v>0</v>
      </c>
      <c r="E89" s="424">
        <v>4330520.25</v>
      </c>
    </row>
    <row r="90" spans="1:5" ht="15">
      <c r="A90" s="423" t="s">
        <v>734</v>
      </c>
      <c r="B90" s="424" t="s">
        <v>735</v>
      </c>
      <c r="C90" s="424">
        <v>353480000</v>
      </c>
      <c r="D90" s="424">
        <v>0</v>
      </c>
      <c r="E90" s="424">
        <v>353480000</v>
      </c>
    </row>
    <row r="91" spans="1:5" ht="15">
      <c r="A91" s="423" t="s">
        <v>794</v>
      </c>
      <c r="B91" s="424" t="s">
        <v>795</v>
      </c>
      <c r="C91" s="424">
        <v>141000</v>
      </c>
      <c r="D91" s="424">
        <v>0</v>
      </c>
      <c r="E91" s="424">
        <v>141000</v>
      </c>
    </row>
    <row r="92" spans="1:5" ht="15">
      <c r="A92" s="423" t="s">
        <v>796</v>
      </c>
      <c r="B92" s="424" t="s">
        <v>797</v>
      </c>
      <c r="C92" s="424">
        <v>4427000</v>
      </c>
      <c r="D92" s="424">
        <v>150000</v>
      </c>
      <c r="E92" s="424">
        <v>4277000</v>
      </c>
    </row>
    <row r="93" spans="1:5" ht="15">
      <c r="A93" s="423" t="s">
        <v>798</v>
      </c>
      <c r="B93" s="424" t="s">
        <v>799</v>
      </c>
      <c r="C93" s="424">
        <v>37267000</v>
      </c>
      <c r="D93" s="424">
        <v>0</v>
      </c>
      <c r="E93" s="424">
        <v>37267000</v>
      </c>
    </row>
    <row r="94" spans="1:5" ht="15">
      <c r="A94" s="423" t="s">
        <v>800</v>
      </c>
      <c r="B94" s="424" t="s">
        <v>801</v>
      </c>
      <c r="C94" s="424">
        <v>35292000</v>
      </c>
      <c r="D94" s="424">
        <v>176000</v>
      </c>
      <c r="E94" s="424">
        <v>35116000</v>
      </c>
    </row>
    <row r="95" spans="1:5" ht="15">
      <c r="A95" s="423" t="s">
        <v>802</v>
      </c>
      <c r="B95" s="424" t="s">
        <v>803</v>
      </c>
      <c r="C95" s="424">
        <v>10932000</v>
      </c>
      <c r="D95" s="424">
        <v>250000</v>
      </c>
      <c r="E95" s="424">
        <v>10682000</v>
      </c>
    </row>
    <row r="96" spans="1:5" ht="15">
      <c r="A96" s="423" t="s">
        <v>804</v>
      </c>
      <c r="B96" s="424" t="s">
        <v>805</v>
      </c>
      <c r="C96" s="424">
        <v>185332000</v>
      </c>
      <c r="D96" s="424">
        <v>0</v>
      </c>
      <c r="E96" s="424">
        <v>185332000</v>
      </c>
    </row>
    <row r="97" spans="1:5" ht="15">
      <c r="A97" s="423" t="s">
        <v>806</v>
      </c>
      <c r="B97" s="424" t="s">
        <v>807</v>
      </c>
      <c r="C97" s="424">
        <v>437635000</v>
      </c>
      <c r="D97" s="424">
        <v>0</v>
      </c>
      <c r="E97" s="424">
        <v>437635000</v>
      </c>
    </row>
    <row r="98" spans="1:5" ht="15">
      <c r="A98" s="423" t="s">
        <v>808</v>
      </c>
      <c r="B98" s="424" t="s">
        <v>809</v>
      </c>
      <c r="C98" s="424">
        <v>6928000</v>
      </c>
      <c r="D98" s="424">
        <v>90000</v>
      </c>
      <c r="E98" s="424">
        <v>6838000</v>
      </c>
    </row>
    <row r="99" spans="1:5" ht="15">
      <c r="A99" s="423" t="s">
        <v>810</v>
      </c>
      <c r="B99" s="424" t="s">
        <v>811</v>
      </c>
      <c r="C99" s="424">
        <v>4116000</v>
      </c>
      <c r="D99" s="424">
        <v>0</v>
      </c>
      <c r="E99" s="424">
        <v>4116000</v>
      </c>
    </row>
    <row r="100" spans="1:5" ht="15">
      <c r="A100" s="423" t="s">
        <v>812</v>
      </c>
      <c r="B100" s="424" t="s">
        <v>813</v>
      </c>
      <c r="C100" s="424">
        <v>2018940000</v>
      </c>
      <c r="D100" s="424">
        <v>0</v>
      </c>
      <c r="E100" s="424">
        <v>2018940000</v>
      </c>
    </row>
    <row r="101" spans="1:5" ht="15">
      <c r="A101" s="423" t="s">
        <v>814</v>
      </c>
      <c r="B101" s="424" t="s">
        <v>815</v>
      </c>
      <c r="C101" s="424">
        <v>8234000</v>
      </c>
      <c r="D101" s="424">
        <v>0</v>
      </c>
      <c r="E101" s="424">
        <v>8234000</v>
      </c>
    </row>
    <row r="102" spans="1:5" ht="15">
      <c r="A102" s="423" t="s">
        <v>816</v>
      </c>
      <c r="B102" s="424" t="s">
        <v>817</v>
      </c>
      <c r="C102" s="424">
        <v>36812000</v>
      </c>
      <c r="D102" s="424">
        <v>0</v>
      </c>
      <c r="E102" s="424">
        <v>36812000</v>
      </c>
    </row>
    <row r="103" spans="1:5" ht="15">
      <c r="A103" s="423" t="s">
        <v>818</v>
      </c>
      <c r="B103" s="424" t="s">
        <v>819</v>
      </c>
      <c r="C103" s="424">
        <v>127000</v>
      </c>
      <c r="D103" s="424">
        <v>0</v>
      </c>
      <c r="E103" s="424">
        <v>127000</v>
      </c>
    </row>
    <row r="104" spans="1:5" ht="15">
      <c r="A104" s="423" t="s">
        <v>820</v>
      </c>
      <c r="B104" s="424" t="s">
        <v>821</v>
      </c>
      <c r="C104" s="424">
        <v>8425815.94</v>
      </c>
      <c r="D104" s="424">
        <v>0</v>
      </c>
      <c r="E104" s="424">
        <v>8425815.94</v>
      </c>
    </row>
    <row r="105" spans="1:5" ht="15">
      <c r="A105" s="423" t="s">
        <v>822</v>
      </c>
      <c r="B105" s="424" t="s">
        <v>823</v>
      </c>
      <c r="C105" s="424">
        <v>14024853</v>
      </c>
      <c r="D105" s="424">
        <v>0</v>
      </c>
      <c r="E105" s="424">
        <v>14024853</v>
      </c>
    </row>
    <row r="106" spans="1:5" ht="15">
      <c r="A106" s="423" t="s">
        <v>746</v>
      </c>
      <c r="B106" s="424" t="s">
        <v>747</v>
      </c>
      <c r="C106" s="424">
        <v>26257000</v>
      </c>
      <c r="D106" s="424">
        <v>0</v>
      </c>
      <c r="E106" s="424">
        <v>26257000</v>
      </c>
    </row>
    <row r="107" spans="1:5" ht="15">
      <c r="A107" s="423" t="s">
        <v>748</v>
      </c>
      <c r="B107" s="424" t="s">
        <v>749</v>
      </c>
      <c r="C107" s="424">
        <v>10033000</v>
      </c>
      <c r="D107" s="424">
        <v>0</v>
      </c>
      <c r="E107" s="424">
        <v>10033000</v>
      </c>
    </row>
    <row r="108" spans="1:5" ht="15">
      <c r="A108" s="423" t="s">
        <v>750</v>
      </c>
      <c r="B108" s="424" t="s">
        <v>751</v>
      </c>
      <c r="C108" s="424">
        <v>5730518000</v>
      </c>
      <c r="D108" s="424">
        <v>0</v>
      </c>
      <c r="E108" s="424">
        <v>5730518000</v>
      </c>
    </row>
    <row r="109" spans="1:5" ht="15">
      <c r="A109" s="423" t="s">
        <v>462</v>
      </c>
      <c r="B109" s="424" t="s">
        <v>971</v>
      </c>
      <c r="C109" s="424">
        <v>681778995.21</v>
      </c>
      <c r="D109" s="424">
        <v>0</v>
      </c>
      <c r="E109" s="424">
        <v>681778995.21</v>
      </c>
    </row>
    <row r="110" spans="1:5" ht="15">
      <c r="A110" s="423" t="s">
        <v>752</v>
      </c>
      <c r="B110" s="424" t="s">
        <v>753</v>
      </c>
      <c r="C110" s="424">
        <v>6617000</v>
      </c>
      <c r="D110" s="424">
        <v>0</v>
      </c>
      <c r="E110" s="424">
        <v>6617000</v>
      </c>
    </row>
    <row r="111" spans="1:5" ht="15">
      <c r="A111" s="423" t="s">
        <v>754</v>
      </c>
      <c r="B111" s="424" t="s">
        <v>755</v>
      </c>
      <c r="C111" s="424">
        <v>216000</v>
      </c>
      <c r="D111" s="424">
        <v>0</v>
      </c>
      <c r="E111" s="424">
        <v>216000</v>
      </c>
    </row>
    <row r="112" spans="1:5" ht="15">
      <c r="A112" s="423" t="s">
        <v>756</v>
      </c>
      <c r="B112" s="424" t="s">
        <v>757</v>
      </c>
      <c r="C112" s="424">
        <v>18457000</v>
      </c>
      <c r="D112" s="424">
        <v>0</v>
      </c>
      <c r="E112" s="424">
        <v>18457000</v>
      </c>
    </row>
    <row r="113" spans="1:5" ht="15">
      <c r="A113" s="423" t="s">
        <v>758</v>
      </c>
      <c r="B113" s="424" t="s">
        <v>759</v>
      </c>
      <c r="C113" s="424">
        <v>18344000</v>
      </c>
      <c r="D113" s="424">
        <v>355000</v>
      </c>
      <c r="E113" s="424">
        <v>17989000</v>
      </c>
    </row>
    <row r="114" spans="1:5" ht="15">
      <c r="A114" s="423" t="s">
        <v>760</v>
      </c>
      <c r="B114" s="424" t="s">
        <v>761</v>
      </c>
      <c r="C114" s="424">
        <v>19567228000</v>
      </c>
      <c r="D114" s="424">
        <v>8437605000</v>
      </c>
      <c r="E114" s="424">
        <v>11129623000</v>
      </c>
    </row>
    <row r="115" spans="1:5" ht="15">
      <c r="A115" s="423" t="s">
        <v>275</v>
      </c>
      <c r="B115" s="424" t="s">
        <v>276</v>
      </c>
      <c r="C115" s="424">
        <v>325773000</v>
      </c>
      <c r="D115" s="424">
        <v>0</v>
      </c>
      <c r="E115" s="424">
        <v>325773000</v>
      </c>
    </row>
    <row r="116" spans="1:5" ht="15">
      <c r="A116" s="423" t="s">
        <v>700</v>
      </c>
      <c r="B116" s="424" t="s">
        <v>701</v>
      </c>
      <c r="C116" s="424">
        <v>52255000</v>
      </c>
      <c r="D116" s="424">
        <v>0</v>
      </c>
      <c r="E116" s="424">
        <v>52255000</v>
      </c>
    </row>
    <row r="117" spans="1:5" ht="15">
      <c r="A117" s="423" t="s">
        <v>702</v>
      </c>
      <c r="B117" s="424" t="s">
        <v>703</v>
      </c>
      <c r="C117" s="424">
        <v>162103000</v>
      </c>
      <c r="D117" s="424">
        <v>0</v>
      </c>
      <c r="E117" s="424">
        <v>162103000</v>
      </c>
    </row>
    <row r="118" spans="1:5" ht="15">
      <c r="A118" s="423" t="s">
        <v>704</v>
      </c>
      <c r="B118" s="424" t="s">
        <v>705</v>
      </c>
      <c r="C118" s="424">
        <v>32937465000</v>
      </c>
      <c r="D118" s="424">
        <v>3328661000</v>
      </c>
      <c r="E118" s="424">
        <v>29608804000</v>
      </c>
    </row>
    <row r="119" spans="1:5" ht="15">
      <c r="A119" s="423" t="s">
        <v>462</v>
      </c>
      <c r="B119" s="424" t="s">
        <v>706</v>
      </c>
      <c r="C119" s="424">
        <v>839195000</v>
      </c>
      <c r="D119" s="424">
        <v>9094000</v>
      </c>
      <c r="E119" s="424">
        <v>830101000</v>
      </c>
    </row>
    <row r="120" spans="1:5" ht="15">
      <c r="A120" s="423" t="s">
        <v>707</v>
      </c>
      <c r="B120" s="424" t="s">
        <v>708</v>
      </c>
      <c r="C120" s="424">
        <v>67000</v>
      </c>
      <c r="D120" s="424">
        <v>0</v>
      </c>
      <c r="E120" s="424">
        <v>67000</v>
      </c>
    </row>
    <row r="121" spans="1:5" ht="15">
      <c r="A121" s="423" t="s">
        <v>292</v>
      </c>
      <c r="B121" s="424" t="s">
        <v>293</v>
      </c>
      <c r="C121" s="424">
        <v>53622000</v>
      </c>
      <c r="D121" s="424">
        <v>0</v>
      </c>
      <c r="E121" s="424">
        <v>53622000</v>
      </c>
    </row>
    <row r="122" spans="1:5" ht="15">
      <c r="A122" s="423" t="s">
        <v>1027</v>
      </c>
      <c r="B122" s="424" t="s">
        <v>1028</v>
      </c>
      <c r="C122" s="424">
        <v>30889000</v>
      </c>
      <c r="D122" s="424">
        <v>0</v>
      </c>
      <c r="E122" s="424">
        <v>30889000</v>
      </c>
    </row>
    <row r="123" spans="1:5" ht="15">
      <c r="A123" s="423" t="s">
        <v>1029</v>
      </c>
      <c r="B123" s="424" t="s">
        <v>1030</v>
      </c>
      <c r="C123" s="424">
        <v>3758170000</v>
      </c>
      <c r="D123" s="424">
        <v>43977000</v>
      </c>
      <c r="E123" s="424">
        <v>3714193000</v>
      </c>
    </row>
    <row r="124" spans="1:5" ht="15">
      <c r="A124" s="423" t="s">
        <v>1031</v>
      </c>
      <c r="B124" s="424" t="s">
        <v>1032</v>
      </c>
      <c r="C124" s="424">
        <v>77113000</v>
      </c>
      <c r="D124" s="424">
        <v>0</v>
      </c>
      <c r="E124" s="424">
        <v>77113000</v>
      </c>
    </row>
    <row r="125" spans="1:5" ht="15">
      <c r="A125" s="423" t="s">
        <v>1033</v>
      </c>
      <c r="B125" s="424" t="s">
        <v>1034</v>
      </c>
      <c r="C125" s="424">
        <v>1000000</v>
      </c>
      <c r="D125" s="424">
        <v>0</v>
      </c>
      <c r="E125" s="424">
        <v>1000000</v>
      </c>
    </row>
    <row r="126" spans="1:5" ht="15">
      <c r="A126" s="423" t="s">
        <v>1035</v>
      </c>
      <c r="B126" s="424" t="s">
        <v>1036</v>
      </c>
      <c r="C126" s="424">
        <v>352000</v>
      </c>
      <c r="D126" s="424">
        <v>0</v>
      </c>
      <c r="E126" s="424">
        <v>352000</v>
      </c>
    </row>
    <row r="127" spans="1:5" ht="15">
      <c r="A127" s="423" t="s">
        <v>1037</v>
      </c>
      <c r="B127" s="424" t="s">
        <v>1038</v>
      </c>
      <c r="C127" s="424">
        <v>798907000</v>
      </c>
      <c r="D127" s="424">
        <v>181000</v>
      </c>
      <c r="E127" s="424">
        <v>798726000</v>
      </c>
    </row>
    <row r="128" spans="1:5" ht="15">
      <c r="A128" s="423" t="s">
        <v>1039</v>
      </c>
      <c r="B128" s="424" t="s">
        <v>1040</v>
      </c>
      <c r="C128" s="424">
        <v>23455187288.7</v>
      </c>
      <c r="D128" s="424">
        <v>10560389000</v>
      </c>
      <c r="E128" s="424">
        <v>12894798288.7</v>
      </c>
    </row>
    <row r="129" spans="1:5" ht="15">
      <c r="A129" s="423" t="s">
        <v>1041</v>
      </c>
      <c r="B129" s="424" t="s">
        <v>1042</v>
      </c>
      <c r="C129" s="424">
        <v>2156633</v>
      </c>
      <c r="D129" s="424">
        <v>0</v>
      </c>
      <c r="E129" s="424">
        <v>2156633</v>
      </c>
    </row>
    <row r="130" spans="1:5" ht="15">
      <c r="A130" s="423" t="s">
        <v>1043</v>
      </c>
      <c r="B130" s="424" t="s">
        <v>1044</v>
      </c>
      <c r="C130" s="424">
        <v>550000000</v>
      </c>
      <c r="D130" s="424">
        <v>0</v>
      </c>
      <c r="E130" s="424">
        <v>550000000</v>
      </c>
    </row>
    <row r="131" spans="1:5" ht="15">
      <c r="A131" s="423" t="s">
        <v>1045</v>
      </c>
      <c r="B131" s="424" t="s">
        <v>1046</v>
      </c>
      <c r="C131" s="424">
        <v>46657000</v>
      </c>
      <c r="D131" s="424">
        <v>0</v>
      </c>
      <c r="E131" s="424">
        <v>46657000</v>
      </c>
    </row>
    <row r="132" spans="1:5" ht="15">
      <c r="A132" s="423" t="s">
        <v>1047</v>
      </c>
      <c r="B132" s="424" t="s">
        <v>1048</v>
      </c>
      <c r="C132" s="424">
        <v>65000</v>
      </c>
      <c r="D132" s="424">
        <v>0</v>
      </c>
      <c r="E132" s="424">
        <v>65000</v>
      </c>
    </row>
    <row r="133" spans="1:5" ht="15">
      <c r="A133" s="423" t="s">
        <v>1049</v>
      </c>
      <c r="B133" s="424" t="s">
        <v>1050</v>
      </c>
      <c r="C133" s="424">
        <v>155500000</v>
      </c>
      <c r="D133" s="424">
        <v>0</v>
      </c>
      <c r="E133" s="424">
        <v>155500000</v>
      </c>
    </row>
    <row r="134" spans="1:5" ht="15">
      <c r="A134" s="423" t="s">
        <v>1012</v>
      </c>
      <c r="B134" s="424" t="s">
        <v>1013</v>
      </c>
      <c r="C134" s="424">
        <v>201837634.6</v>
      </c>
      <c r="D134" s="424">
        <v>0</v>
      </c>
      <c r="E134" s="424">
        <v>201837634.6</v>
      </c>
    </row>
    <row r="135" spans="1:5" ht="15">
      <c r="A135" s="423" t="s">
        <v>279</v>
      </c>
      <c r="B135" s="424" t="s">
        <v>280</v>
      </c>
      <c r="C135" s="424">
        <v>2831000</v>
      </c>
      <c r="D135" s="424">
        <v>0</v>
      </c>
      <c r="E135" s="424">
        <v>2831000</v>
      </c>
    </row>
    <row r="136" spans="1:5" ht="15">
      <c r="A136" s="423" t="s">
        <v>281</v>
      </c>
      <c r="B136" s="424" t="s">
        <v>282</v>
      </c>
      <c r="C136" s="424">
        <v>898227000</v>
      </c>
      <c r="D136" s="424">
        <v>312245000</v>
      </c>
      <c r="E136" s="424">
        <v>585982000</v>
      </c>
    </row>
    <row r="137" spans="1:5" ht="15">
      <c r="A137" s="423" t="s">
        <v>283</v>
      </c>
      <c r="B137" s="424" t="s">
        <v>284</v>
      </c>
      <c r="C137" s="424">
        <v>19531000</v>
      </c>
      <c r="D137" s="424">
        <v>0</v>
      </c>
      <c r="E137" s="424">
        <v>19531000</v>
      </c>
    </row>
    <row r="138" spans="1:5" ht="15">
      <c r="A138" s="423" t="s">
        <v>285</v>
      </c>
      <c r="B138" s="424" t="s">
        <v>286</v>
      </c>
      <c r="C138" s="424">
        <v>906000</v>
      </c>
      <c r="D138" s="424">
        <v>0</v>
      </c>
      <c r="E138" s="424">
        <v>906000</v>
      </c>
    </row>
    <row r="139" spans="1:5" ht="15">
      <c r="A139" s="423" t="s">
        <v>972</v>
      </c>
      <c r="B139" s="424" t="s">
        <v>973</v>
      </c>
      <c r="C139" s="424">
        <v>8503000</v>
      </c>
      <c r="D139" s="424">
        <v>0</v>
      </c>
      <c r="E139" s="424">
        <v>8503000</v>
      </c>
    </row>
    <row r="140" spans="1:5" ht="15">
      <c r="A140" s="423" t="s">
        <v>611</v>
      </c>
      <c r="B140" s="424" t="s">
        <v>612</v>
      </c>
      <c r="C140" s="424">
        <v>2589000</v>
      </c>
      <c r="D140" s="424">
        <v>0</v>
      </c>
      <c r="E140" s="424">
        <v>2589000</v>
      </c>
    </row>
    <row r="141" spans="1:5" ht="15">
      <c r="A141" s="423" t="s">
        <v>287</v>
      </c>
      <c r="B141" s="424" t="s">
        <v>288</v>
      </c>
      <c r="C141" s="424">
        <v>2087000</v>
      </c>
      <c r="D141" s="424">
        <v>0</v>
      </c>
      <c r="E141" s="424">
        <v>2087000</v>
      </c>
    </row>
    <row r="142" spans="1:5" ht="15">
      <c r="A142" s="423" t="s">
        <v>289</v>
      </c>
      <c r="B142" s="424" t="s">
        <v>290</v>
      </c>
      <c r="C142" s="424">
        <v>24792000</v>
      </c>
      <c r="D142" s="424">
        <v>0</v>
      </c>
      <c r="E142" s="424">
        <v>24792000</v>
      </c>
    </row>
    <row r="143" spans="1:5" ht="15">
      <c r="A143" s="423" t="s">
        <v>467</v>
      </c>
      <c r="B143" s="424" t="s">
        <v>291</v>
      </c>
      <c r="C143" s="424">
        <v>14373000</v>
      </c>
      <c r="D143" s="424">
        <v>1471000</v>
      </c>
      <c r="E143" s="424">
        <v>12902000</v>
      </c>
    </row>
    <row r="144" spans="1:5" ht="15">
      <c r="A144" s="423" t="s">
        <v>1009</v>
      </c>
      <c r="B144" s="424" t="s">
        <v>1010</v>
      </c>
      <c r="C144" s="424">
        <v>12455091050</v>
      </c>
      <c r="D144" s="424">
        <v>660000000</v>
      </c>
      <c r="E144" s="424">
        <v>11795091050</v>
      </c>
    </row>
    <row r="145" spans="1:5" ht="15">
      <c r="A145" s="423" t="s">
        <v>374</v>
      </c>
      <c r="B145" s="424" t="s">
        <v>375</v>
      </c>
      <c r="C145" s="424">
        <v>13195000</v>
      </c>
      <c r="D145" s="424">
        <v>0</v>
      </c>
      <c r="E145" s="424">
        <v>13195000</v>
      </c>
    </row>
    <row r="146" spans="1:5" ht="15">
      <c r="A146" s="423" t="s">
        <v>376</v>
      </c>
      <c r="B146" s="424" t="s">
        <v>377</v>
      </c>
      <c r="C146" s="424">
        <v>350556000</v>
      </c>
      <c r="D146" s="424">
        <v>0</v>
      </c>
      <c r="E146" s="424">
        <v>350556000</v>
      </c>
    </row>
    <row r="147" spans="1:5" ht="15">
      <c r="A147" s="423" t="s">
        <v>462</v>
      </c>
      <c r="B147" s="424" t="s">
        <v>378</v>
      </c>
      <c r="C147" s="424">
        <v>505000</v>
      </c>
      <c r="D147" s="424">
        <v>0</v>
      </c>
      <c r="E147" s="424">
        <v>505000</v>
      </c>
    </row>
    <row r="148" spans="1:5" ht="15">
      <c r="A148" s="423" t="s">
        <v>379</v>
      </c>
      <c r="B148" s="424" t="s">
        <v>380</v>
      </c>
      <c r="C148" s="424">
        <v>450000</v>
      </c>
      <c r="D148" s="424">
        <v>0</v>
      </c>
      <c r="E148" s="424">
        <v>450000</v>
      </c>
    </row>
    <row r="149" spans="1:5" ht="15">
      <c r="A149" s="423" t="s">
        <v>381</v>
      </c>
      <c r="B149" s="424" t="s">
        <v>382</v>
      </c>
      <c r="C149" s="424">
        <v>1323017000</v>
      </c>
      <c r="D149" s="424">
        <v>445497000</v>
      </c>
      <c r="E149" s="424">
        <v>877520000</v>
      </c>
    </row>
    <row r="150" spans="1:5" ht="15">
      <c r="A150" s="423" t="s">
        <v>383</v>
      </c>
      <c r="B150" s="424" t="s">
        <v>384</v>
      </c>
      <c r="C150" s="424">
        <v>63628022.22</v>
      </c>
      <c r="D150" s="424">
        <v>0</v>
      </c>
      <c r="E150" s="424">
        <v>63628022.22</v>
      </c>
    </row>
    <row r="151" spans="1:5" ht="15">
      <c r="A151" s="423" t="s">
        <v>1090</v>
      </c>
      <c r="B151" s="424" t="s">
        <v>1091</v>
      </c>
      <c r="C151" s="424">
        <v>801372000</v>
      </c>
      <c r="D151" s="424">
        <v>0</v>
      </c>
      <c r="E151" s="424">
        <v>801372000</v>
      </c>
    </row>
    <row r="152" spans="1:5" ht="15">
      <c r="A152" s="423" t="s">
        <v>1092</v>
      </c>
      <c r="B152" s="424" t="s">
        <v>1093</v>
      </c>
      <c r="C152" s="424">
        <v>7776000</v>
      </c>
      <c r="D152" s="424">
        <v>0</v>
      </c>
      <c r="E152" s="424">
        <v>7776000</v>
      </c>
    </row>
    <row r="153" spans="1:5" ht="15">
      <c r="A153" s="423" t="s">
        <v>1094</v>
      </c>
      <c r="B153" s="424" t="s">
        <v>1095</v>
      </c>
      <c r="C153" s="424">
        <v>140621000</v>
      </c>
      <c r="D153" s="424">
        <v>0</v>
      </c>
      <c r="E153" s="424">
        <v>140621000</v>
      </c>
    </row>
    <row r="154" spans="1:5" ht="15">
      <c r="A154" s="423" t="s">
        <v>1096</v>
      </c>
      <c r="B154" s="424" t="s">
        <v>1097</v>
      </c>
      <c r="C154" s="424">
        <v>26604883.46</v>
      </c>
      <c r="D154" s="424">
        <v>0</v>
      </c>
      <c r="E154" s="424">
        <v>26604883.46</v>
      </c>
    </row>
    <row r="155" spans="1:5" ht="15">
      <c r="A155" s="423" t="s">
        <v>1098</v>
      </c>
      <c r="B155" s="424" t="s">
        <v>1099</v>
      </c>
      <c r="C155" s="424">
        <v>7833864.09</v>
      </c>
      <c r="D155" s="424">
        <v>0</v>
      </c>
      <c r="E155" s="424">
        <v>7833864.09</v>
      </c>
    </row>
    <row r="156" spans="1:5" ht="15">
      <c r="A156" s="423" t="s">
        <v>1062</v>
      </c>
      <c r="B156" s="424" t="s">
        <v>1063</v>
      </c>
      <c r="C156" s="424">
        <v>61178000</v>
      </c>
      <c r="D156" s="424">
        <v>16000</v>
      </c>
      <c r="E156" s="424">
        <v>61162000</v>
      </c>
    </row>
    <row r="157" spans="1:5" ht="15">
      <c r="A157" s="423" t="s">
        <v>1064</v>
      </c>
      <c r="B157" s="424" t="s">
        <v>1065</v>
      </c>
      <c r="C157" s="424">
        <v>47763169000</v>
      </c>
      <c r="D157" s="424">
        <v>4537813000</v>
      </c>
      <c r="E157" s="424">
        <v>43225356000</v>
      </c>
    </row>
    <row r="158" spans="1:5" ht="15">
      <c r="A158" s="423" t="s">
        <v>1066</v>
      </c>
      <c r="B158" s="424" t="s">
        <v>1067</v>
      </c>
      <c r="C158" s="424">
        <v>1348018000</v>
      </c>
      <c r="D158" s="424">
        <v>0</v>
      </c>
      <c r="E158" s="424">
        <v>1348018000</v>
      </c>
    </row>
    <row r="159" spans="1:5" ht="15">
      <c r="A159" s="423" t="s">
        <v>1068</v>
      </c>
      <c r="B159" s="424" t="s">
        <v>1069</v>
      </c>
      <c r="C159" s="424">
        <v>89603000</v>
      </c>
      <c r="D159" s="424">
        <v>38030000</v>
      </c>
      <c r="E159" s="424">
        <v>51573000</v>
      </c>
    </row>
    <row r="160" spans="1:5" ht="15">
      <c r="A160" s="423" t="s">
        <v>1070</v>
      </c>
      <c r="B160" s="424" t="s">
        <v>1071</v>
      </c>
      <c r="C160" s="424">
        <v>6887100</v>
      </c>
      <c r="D160" s="424">
        <v>0</v>
      </c>
      <c r="E160" s="424">
        <v>6887100</v>
      </c>
    </row>
    <row r="161" spans="1:5" ht="15">
      <c r="A161" s="423" t="s">
        <v>1072</v>
      </c>
      <c r="B161" s="424" t="s">
        <v>1073</v>
      </c>
      <c r="C161" s="424">
        <v>236677000</v>
      </c>
      <c r="D161" s="424">
        <v>0</v>
      </c>
      <c r="E161" s="424">
        <v>236677000</v>
      </c>
    </row>
    <row r="162" spans="1:5" ht="15">
      <c r="A162" s="423" t="s">
        <v>127</v>
      </c>
      <c r="B162" s="424" t="s">
        <v>128</v>
      </c>
      <c r="C162" s="424">
        <v>3707799000</v>
      </c>
      <c r="D162" s="424">
        <v>0</v>
      </c>
      <c r="E162" s="424">
        <v>3707799000</v>
      </c>
    </row>
    <row r="163" spans="1:5" ht="15">
      <c r="A163" s="423" t="s">
        <v>129</v>
      </c>
      <c r="B163" s="424" t="s">
        <v>130</v>
      </c>
      <c r="C163" s="424">
        <v>135621000</v>
      </c>
      <c r="D163" s="424">
        <v>0</v>
      </c>
      <c r="E163" s="424">
        <v>135621000</v>
      </c>
    </row>
    <row r="164" spans="1:5" ht="15">
      <c r="A164" s="423" t="s">
        <v>131</v>
      </c>
      <c r="B164" s="424" t="s">
        <v>132</v>
      </c>
      <c r="C164" s="424">
        <v>1959757000</v>
      </c>
      <c r="D164" s="424">
        <v>0</v>
      </c>
      <c r="E164" s="424">
        <v>1959757000</v>
      </c>
    </row>
    <row r="165" spans="1:5" ht="15">
      <c r="A165" s="423" t="s">
        <v>133</v>
      </c>
      <c r="B165" s="424" t="s">
        <v>134</v>
      </c>
      <c r="C165" s="424">
        <v>758471000</v>
      </c>
      <c r="D165" s="424">
        <v>307739000</v>
      </c>
      <c r="E165" s="424">
        <v>450732000</v>
      </c>
    </row>
    <row r="166" spans="1:5" ht="15">
      <c r="A166" s="423" t="s">
        <v>135</v>
      </c>
      <c r="B166" s="424" t="s">
        <v>136</v>
      </c>
      <c r="C166" s="424">
        <v>2978925000</v>
      </c>
      <c r="D166" s="424">
        <v>1072108000</v>
      </c>
      <c r="E166" s="424">
        <v>1906817000</v>
      </c>
    </row>
    <row r="167" spans="1:5" ht="15">
      <c r="A167" s="423" t="s">
        <v>137</v>
      </c>
      <c r="B167" s="424" t="s">
        <v>138</v>
      </c>
      <c r="C167" s="424">
        <v>249000</v>
      </c>
      <c r="D167" s="424">
        <v>0</v>
      </c>
      <c r="E167" s="424">
        <v>249000</v>
      </c>
    </row>
    <row r="168" spans="1:5" ht="15">
      <c r="A168" s="423" t="s">
        <v>139</v>
      </c>
      <c r="B168" s="424" t="s">
        <v>140</v>
      </c>
      <c r="C168" s="424">
        <v>746238353.83</v>
      </c>
      <c r="D168" s="424">
        <v>0</v>
      </c>
      <c r="E168" s="424">
        <v>746238353.83</v>
      </c>
    </row>
    <row r="169" spans="1:5" ht="15">
      <c r="A169" s="423" t="s">
        <v>829</v>
      </c>
      <c r="B169" s="424" t="s">
        <v>830</v>
      </c>
      <c r="C169" s="424">
        <v>36588000</v>
      </c>
      <c r="D169" s="424">
        <v>0</v>
      </c>
      <c r="E169" s="424">
        <v>36588000</v>
      </c>
    </row>
  </sheetData>
  <printOptions gridLines="1" horizontalCentered="1"/>
  <pageMargins left="0.5" right="0" top="0.6" bottom="0.25" header="0" footer="0"/>
  <pageSetup horizontalDpi="300" verticalDpi="3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bmarshal</cp:lastModifiedBy>
  <cp:lastPrinted>2004-08-03T17:58:01Z</cp:lastPrinted>
  <dcterms:created xsi:type="dcterms:W3CDTF">1998-12-22T15:47:59Z</dcterms:created>
  <dcterms:modified xsi:type="dcterms:W3CDTF">2004-08-05T15:13:53Z</dcterms:modified>
  <cp:category/>
  <cp:version/>
  <cp:contentType/>
  <cp:contentStatus/>
</cp:coreProperties>
</file>