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65476" windowWidth="5760" windowHeight="6600" tabRatio="808" activeTab="0"/>
  </bookViews>
  <sheets>
    <sheet name="Summary" sheetId="1" r:id="rId1"/>
    <sheet name="Marketable" sheetId="2" r:id="rId2"/>
    <sheet name="Nonmarketable" sheetId="3" r:id="rId3"/>
    <sheet name="GAS" sheetId="4" r:id="rId4"/>
    <sheet name="TableIV" sheetId="5" r:id="rId5"/>
    <sheet name="Footnotes" sheetId="6" r:id="rId6"/>
    <sheet name="GAS ASCII" sheetId="7" r:id="rId7"/>
  </sheets>
  <definedNames>
    <definedName name="_Key1" hidden="1">'Marketable'!#REF!</definedName>
    <definedName name="_Order1" localSheetId="3" hidden="1">255</definedName>
    <definedName name="_Order1" localSheetId="6" hidden="1">255</definedName>
    <definedName name="_Order1" localSheetId="1" hidden="1">255</definedName>
    <definedName name="_Order1" localSheetId="2" hidden="1">255</definedName>
    <definedName name="_Order1" localSheetId="4" hidden="1">255</definedName>
    <definedName name="_Sort" hidden="1">'Marketable'!#REF!</definedName>
    <definedName name="ACwvu.page10." hidden="1">'TableIV'!$1:$7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'Marketable'!#REF!</definedName>
    <definedName name="GASASCII">'GAS ASCII'!$B:$E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3">'GAS'!$A$1:$M$238</definedName>
    <definedName name="_xlnm.Print_Area" localSheetId="6">'GAS ASCII'!$A$1:$E$179</definedName>
    <definedName name="_xlnm.Print_Area" localSheetId="1">'Marketable'!$A$1:$Q$326</definedName>
    <definedName name="_xlnm.Print_Area" localSheetId="2">'Nonmarketable'!$A$1:$P$71</definedName>
    <definedName name="_xlnm.Print_Area" localSheetId="4">'TableIV'!$A$1:$J$190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'TableIV'!$1:$7</definedName>
    <definedName name="TOTALROW1">#REF!</definedName>
    <definedName name="TOTALROW3">#REF!</definedName>
    <definedName name="TOTALS_GDEBT">'TableIV'!$K$4:$K$7</definedName>
    <definedName name="TOTALS_MSPD2">'GAS'!$H$56:$I$231</definedName>
    <definedName name="TOTALS_MSPD2A">'GAS'!$I$216:$L$231</definedName>
    <definedName name="TOTALS_PAGE2">'Marketable'!$L$5:$Q$173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1" hidden="1">'Marketable'!#REF!</definedName>
    <definedName name="Z_299E6BA2_5C55_11D3_95FC_00C04F98DD55_.wvu.Cols" localSheetId="4" hidden="1">'TableIV'!$M:$M</definedName>
    <definedName name="Z_299E6BA2_5C55_11D3_95FC_00C04F98DD55_.wvu.PrintArea" localSheetId="3" hidden="1">'GAS'!$A$1:$M$231</definedName>
    <definedName name="Z_299E6BA2_5C55_11D3_95FC_00C04F98DD55_.wvu.PrintArea" localSheetId="6" hidden="1">'Footnotes'!$A$1:$M$61</definedName>
    <definedName name="Z_299E6BA2_5C55_11D3_95FC_00C04F98DD55_.wvu.PrintArea" localSheetId="1" hidden="1">'Marketable'!$A$1:$Q$326</definedName>
    <definedName name="Z_299E6BA2_5C55_11D3_95FC_00C04F98DD55_.wvu.PrintArea" localSheetId="4" hidden="1">'TableIV'!$A$1:$J$190</definedName>
    <definedName name="Z_299E6BA2_5C55_11D3_95FC_00C04F98DD55_.wvu.Rows" localSheetId="3" hidden="1">'GAS'!#REF!</definedName>
    <definedName name="Z_299E6BA2_5C55_11D3_95FC_00C04F98DD55_.wvu.Rows" localSheetId="1" hidden="1">'Marketable'!$170:$170</definedName>
    <definedName name="Z_F8F97401_998A_11D2_AE2A_00C04F98DCD3_.wvu.PrintArea" hidden="1">'TableIV'!$A$1:$J$190</definedName>
    <definedName name="Z_FDA6B625_998F_11D2_AE2A_00C04F98DCD3_.wvu.PrintArea" hidden="1">'TableIV'!$A$1:$J$190</definedName>
  </definedNames>
  <calcPr fullCalcOnLoad="1"/>
</workbook>
</file>

<file path=xl/sharedStrings.xml><?xml version="1.0" encoding="utf-8"?>
<sst xmlns="http://schemas.openxmlformats.org/spreadsheetml/2006/main" count="2049" uniqueCount="1154">
  <si>
    <t>Federal Ship Financing Escrow Fund, Maritime Administration...............................................................................…</t>
  </si>
  <si>
    <t>Leaking Underground Storage Tank Trust Fund..................................................................................................................</t>
  </si>
  <si>
    <t>912820  JQ1</t>
  </si>
  <si>
    <t>912820  JS7</t>
  </si>
  <si>
    <t>District of Columbia Federal Pension Trust Fund.............................................................................................................................................</t>
  </si>
  <si>
    <t>PUBLIC ENTERPRISE REVOLVING FUND, OFFICE OF THRIFT SUPERVISION, TREASURY</t>
  </si>
  <si>
    <t>Public Enterprise Revolving Fund, Office of Thrift Supervision, Treasury……………………..</t>
  </si>
  <si>
    <t>Reregistration and Expedited Processing Fund, Environmental Protection Agency….</t>
  </si>
  <si>
    <t>912820  KK2</t>
  </si>
  <si>
    <t>15X6874</t>
  </si>
  <si>
    <t>Southern Nevada Public Land Management Act of 1998.......................................................................................................................................................................................……….</t>
  </si>
  <si>
    <t>03/15-09/15</t>
  </si>
  <si>
    <t>James Madison Memorial Fellowship Foundation Fund.....................................................................................................</t>
  </si>
  <si>
    <t xml:space="preserve">Japan-United States Friendship Trust Fund, Japan-United States </t>
  </si>
  <si>
    <t>Redeemable at any time effective with the 1984 Tax Reform Act.  The redemption proceeds should be reported as income unless reinvested into an individual</t>
  </si>
  <si>
    <t>retirement plan or an employee plan qualified under Section 401 of the Internal Revenue Code.</t>
  </si>
  <si>
    <t>Excludes $25 million United States Notes issued prior to July 1, 1929, determined pursuant to Act of June 30, 1961, 31 U.S.C. 5119, to have been destroyed or</t>
  </si>
  <si>
    <t>912795  WC1</t>
  </si>
  <si>
    <t>912795  WD9</t>
  </si>
  <si>
    <t>912795  WE7</t>
  </si>
  <si>
    <t>912828  DX5</t>
  </si>
  <si>
    <t>912795  WF4</t>
  </si>
  <si>
    <t>912795  WG2</t>
  </si>
  <si>
    <t>912828  DY3</t>
  </si>
  <si>
    <t>912820  LV7</t>
  </si>
  <si>
    <t>912820  LU9</t>
  </si>
  <si>
    <t>Library of Congress Trust Fund.......................................................................................................................................</t>
  </si>
  <si>
    <t>Power Systems, Indian Irrigation Projects, Bureau of Indian Affairs...........................................................................................................................................…</t>
  </si>
  <si>
    <t>Railroad Retirement Account......................................................................................................................................................................................................................................…….</t>
  </si>
  <si>
    <t>912828  AC4</t>
  </si>
  <si>
    <t>912827  3E0</t>
  </si>
  <si>
    <t>07/15-01/15</t>
  </si>
  <si>
    <t>912828  AY6</t>
  </si>
  <si>
    <t>912827  Y55</t>
  </si>
  <si>
    <t>912828  AZ3</t>
  </si>
  <si>
    <t>912827  4V1</t>
  </si>
  <si>
    <t>Treasury Demand Deposit..................</t>
  </si>
  <si>
    <t>Daily</t>
  </si>
  <si>
    <t>Federal Supplementary Medical Insurance Trust Fund............................................................................................................................................................…</t>
  </si>
  <si>
    <t>Zero-coupon Treasury Bond ........................................</t>
  </si>
  <si>
    <t>Zero-coupon Treasury Bond (A).....................................</t>
  </si>
  <si>
    <t>Zero-coupon Treasury Bond (B)........................................</t>
  </si>
  <si>
    <t>Zero-coupon Treasury Bond....................................</t>
  </si>
  <si>
    <t>Overseas Private Investment Corporation, Insurance and Equity Non Credit</t>
  </si>
  <si>
    <t>National Security Education Trust Fund..................................................................................................................…</t>
  </si>
  <si>
    <t>PAYMENTS OF ALLEGED VIOLATORS OF DEPARTMENT OF ENERGY REGULATIONS, DEPARTMENT OF ENERGY</t>
  </si>
  <si>
    <t>89X6425</t>
  </si>
  <si>
    <t>SEIZED ASSETS FUND, JUSTICE</t>
  </si>
  <si>
    <t xml:space="preserve">   Housing and Urban Development............................................................................................................................................................…</t>
  </si>
  <si>
    <t>Foreign Service Retirement and Disability Fund....................................................................................................................………</t>
  </si>
  <si>
    <t>12/15-06/15</t>
  </si>
  <si>
    <t>SEIZED CURRENCY, UNITED STATES CUSTOMS SERVICE</t>
  </si>
  <si>
    <t>20X6511</t>
  </si>
  <si>
    <t>00X5509</t>
  </si>
  <si>
    <t>SERVICEMEN'S GROUP LIFE INSURANCE FUND</t>
  </si>
  <si>
    <t>36X4009</t>
  </si>
  <si>
    <t>SOCIAL SECURITY EQUIVALENT BENEFIT ACCOUNT, RAILROAD RETIREMENT BOARD</t>
  </si>
  <si>
    <t>60X8010</t>
  </si>
  <si>
    <t>SOUTH DAKOTA TERRESTRIAL WILDLIFE HABITAT RESTORATION TRUST FUND</t>
  </si>
  <si>
    <t>96X8217</t>
  </si>
  <si>
    <t>Payments of Alleged Violators of Department of Energy Regulations,</t>
  </si>
  <si>
    <t>OF THE UNITED STATES</t>
  </si>
  <si>
    <t xml:space="preserve"> </t>
  </si>
  <si>
    <t>(Details may not add to totals)</t>
  </si>
  <si>
    <t>Title</t>
  </si>
  <si>
    <t>Outstanding</t>
  </si>
  <si>
    <t>Marketable:</t>
  </si>
  <si>
    <t>Hazardous Substance Superfund............................................................................................................................................</t>
  </si>
  <si>
    <t>Nonmarketable:</t>
  </si>
  <si>
    <t>Fiscal Year 2004</t>
  </si>
  <si>
    <t>Federal Financing Bank...............................................................................…</t>
  </si>
  <si>
    <t>Various</t>
  </si>
  <si>
    <r>
      <t xml:space="preserve">Unamortized Discount  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..................................................................................…</t>
    </r>
  </si>
  <si>
    <r>
      <t xml:space="preserve">Guaranteed Debt of Government Agencies  </t>
    </r>
    <r>
      <rPr>
        <vertAlign val="superscript"/>
        <sz val="14"/>
        <rFont val="Arial"/>
        <family val="2"/>
      </rPr>
      <t>4</t>
    </r>
  </si>
  <si>
    <t>CAPITOL PRESERVATION FUND, U. S. CAPITOL PRESERVATION COMMISSION</t>
  </si>
  <si>
    <t>09X8300</t>
  </si>
  <si>
    <t>Seized Currency, United States Customs Service.........................................................................................................................</t>
  </si>
  <si>
    <t>Farm Credit Insurance Fund, Capital Corporation Investment Fund, Farm</t>
  </si>
  <si>
    <t>Individual Indian Money, Bureau of Indian Affairs.....................................................................................................................................…</t>
  </si>
  <si>
    <t>Library of Congress Gift Fund....................................................................................................................................…</t>
  </si>
  <si>
    <t>Bills..................................................................................…</t>
  </si>
  <si>
    <r>
      <t xml:space="preserve">Total Marketable  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>.....................................................................................</t>
    </r>
  </si>
  <si>
    <t>National Credit Union Share Insurance Fund..................................................................................................................................................…</t>
  </si>
  <si>
    <t>(Retired) / Inflation Adj.</t>
  </si>
  <si>
    <t>a</t>
  </si>
  <si>
    <t>Treasury Bills (Maturity Value):</t>
  </si>
  <si>
    <t>CUSIP:</t>
  </si>
  <si>
    <t>Yield:</t>
  </si>
  <si>
    <t>Intragovernmental Holdings.....................................................................................................................…</t>
  </si>
  <si>
    <t>Total Public Debt Outstanding.....................................................................................................................…</t>
  </si>
  <si>
    <t>Government Account Series - Held By the Public..........................................................................................................…</t>
  </si>
  <si>
    <t>Total United States Savings Securities...............................................................................…</t>
  </si>
  <si>
    <t>FSLIC Resolution Fund, The.......................................................................................................................................................................................................................................……..</t>
  </si>
  <si>
    <t xml:space="preserve"> Series E...............................................................</t>
  </si>
  <si>
    <t>On demand</t>
  </si>
  <si>
    <t>At redemption</t>
  </si>
  <si>
    <t xml:space="preserve"> Series EE...........................................................</t>
  </si>
  <si>
    <t xml:space="preserve"> Series E, EE, and I </t>
  </si>
  <si>
    <t>Total Unmatured Treasury Bills...............................................................................…</t>
  </si>
  <si>
    <t>Total Matured Treasury Bills...............................................................................…</t>
  </si>
  <si>
    <t>Total Nonmarketable.......................................................................................................................................................................................................</t>
  </si>
  <si>
    <t>Amount in Millions of Dollars</t>
  </si>
  <si>
    <t>Loan Description</t>
  </si>
  <si>
    <t>Date</t>
  </si>
  <si>
    <t>Callable</t>
  </si>
  <si>
    <t>Payable</t>
  </si>
  <si>
    <t>Issued</t>
  </si>
  <si>
    <t>FARM CREDIT INSURANCE FUND, CAPITAL CORPORATION INVESTMENT FUND, FARM CREDIT ADMINISTRATION</t>
  </si>
  <si>
    <t>78X4136</t>
  </si>
  <si>
    <t>FEDERAL AID TO WILDLIFE RESTORATION, UNITED STATES FISH AND WILDLIFE SERVICE</t>
  </si>
  <si>
    <t>14X5029</t>
  </si>
  <si>
    <t>FEDERAL DISABILITY INSURANCE TRUST FUND</t>
  </si>
  <si>
    <t>20X8007</t>
  </si>
  <si>
    <t>FEDERAL HOSPITAL INSURANCE TRUST FUND</t>
  </si>
  <si>
    <t>20X8005</t>
  </si>
  <si>
    <t>FEDERAL HOUSING ADMINISTRATION - GENERAL AND SPECIAL RISK INSURANCE FUND, LUQUIDATING ACCOUNT, HOUSING AND</t>
  </si>
  <si>
    <t>86X4072</t>
  </si>
  <si>
    <t>86X02362</t>
  </si>
  <si>
    <t xml:space="preserve">   Fellowship  Foundation...................................................................................................................................................................................................................................................</t>
  </si>
  <si>
    <t>ESTHER CATTELL SCHMITT GIFT FUND, TREASURY</t>
  </si>
  <si>
    <t>20X8902</t>
  </si>
  <si>
    <t>Less than $500 thousand.</t>
  </si>
  <si>
    <t>Subject to the Statutory Debt Limit:</t>
  </si>
  <si>
    <t>total</t>
  </si>
  <si>
    <t>Nuclear Waste Disposal Fund, Department of Energy..............................................................................................................................</t>
  </si>
  <si>
    <t>Deposits, Outer Continental Shelf Lands Act, Bonus Bids,</t>
  </si>
  <si>
    <t xml:space="preserve">   Minerals Management Service.................................................................................................................................................................…</t>
  </si>
  <si>
    <t>Patients Benefit Fund, National Institutes of Health......................................................................................................</t>
  </si>
  <si>
    <t xml:space="preserve">   Bureau of Indian Affairs......................................................................................................................................................................…</t>
  </si>
  <si>
    <t>Tribal Trust Fund, Office of the Special Trustee for American Indians.......................................................................</t>
  </si>
  <si>
    <t>Balance of Statutory Debt Limit.......................................................................................................................................................................…</t>
  </si>
  <si>
    <t>United States Trustee System Fund, Justice..........................................................................................................................</t>
  </si>
  <si>
    <t>Public Health Service Conditional Gift Fund, Health Resources and Services</t>
  </si>
  <si>
    <t>Relief and Rehabilitation, Longshoremen's and Harbor Workers' Compensation</t>
  </si>
  <si>
    <t>Relief and Rehabilitation, Workmen's Compensation Act, within the District of</t>
  </si>
  <si>
    <r>
      <t xml:space="preserve">Total Nonmarketable  </t>
    </r>
    <r>
      <rPr>
        <b/>
        <vertAlign val="superscript"/>
        <sz val="14"/>
        <rFont val="Arial"/>
        <family val="2"/>
      </rPr>
      <t>b</t>
    </r>
    <r>
      <rPr>
        <b/>
        <sz val="14"/>
        <rFont val="Arial"/>
        <family val="2"/>
      </rPr>
      <t>..................................................................................…</t>
    </r>
  </si>
  <si>
    <t>Public Debt Outstanding..................................................................................…</t>
  </si>
  <si>
    <t>Total Marketable consists of short-term debt (1 year and less) of $923,403 million, long-term debt (greater than 1 year) of $3,107,576 million and</t>
  </si>
  <si>
    <t>matured debt of $117 million.</t>
  </si>
  <si>
    <t>Total Nonmarketable consists of short-term debt (1 year and less) of $149,319 million, long-term debt (greater than 1 year) of $3,644,513 million and</t>
  </si>
  <si>
    <t>matured debt of $11,568 million.</t>
  </si>
  <si>
    <t>OPERATION AND MAINTENANCE, INDIAN IRRIGATION SYSTEMS, BUREAU OF INDIAN AFFAIRS</t>
  </si>
  <si>
    <t>14X5240</t>
  </si>
  <si>
    <t>OVERSEAS PRIVATE INVESTMENT CORPORATION, INSURANCE AND EQUITY NON CREDIT ACCOUNT</t>
  </si>
  <si>
    <t>71X4184</t>
  </si>
  <si>
    <t>PANAMA CANAL COMMISSION COMPENSATION FUND</t>
  </si>
  <si>
    <t>16X5155</t>
  </si>
  <si>
    <t>PAYMENTS TO COPYRIGHT OWNERS, COPYRIGHT OFFICE, LIBRARY OF CONGRESS</t>
  </si>
  <si>
    <t>03X5175</t>
  </si>
  <si>
    <t>PENSION BENEFIT GUARANTY CORPORATION</t>
  </si>
  <si>
    <t>16X4204</t>
  </si>
  <si>
    <t>POSTAL SERVICE FUND</t>
  </si>
  <si>
    <t>18X4020</t>
  </si>
  <si>
    <t>POWER SYSTEMS, INDIAN IRRIGATION PROJECTS, BUREAU OF INDIAN AFFAIRS</t>
  </si>
  <si>
    <t>14X5648</t>
  </si>
  <si>
    <t>Department of Defense, Education Benefits Fund.....................................................................................................</t>
  </si>
  <si>
    <t>SCIENCE, SPACE AND TECHNOLOGY EDUCATION TRUST FUND, NATIONAL AERONAUTICS AND SPACE ADMINISTRATION</t>
  </si>
  <si>
    <t>80X8978</t>
  </si>
  <si>
    <t>Sept. 30, 2004</t>
  </si>
  <si>
    <t>These securities are not eligible for stripping and reconstitution, see Table V, "Holdings of Treasury Securities in Stripped Form".</t>
  </si>
  <si>
    <t xml:space="preserve">  c   f</t>
  </si>
  <si>
    <t xml:space="preserve"> Various</t>
  </si>
  <si>
    <t>Domestic Series:</t>
  </si>
  <si>
    <t>Employees' Health Benefits Fund, Office of Personnel Management..................................................................................................................................................................…</t>
  </si>
  <si>
    <t>Harbor Maintenance Trust Fund............................................................................................................................................</t>
  </si>
  <si>
    <t>Unearned Copyright Fees, Library Of Congress.................................................................................................................................................................…</t>
  </si>
  <si>
    <t>Postal Service Fund......................................................................................................................................................................................................................…</t>
  </si>
  <si>
    <t>CUSIP</t>
  </si>
  <si>
    <t>Total</t>
  </si>
  <si>
    <t>Portion Held in</t>
  </si>
  <si>
    <t>912828  DL1</t>
  </si>
  <si>
    <t>912827  6J6</t>
  </si>
  <si>
    <t>Judicial Survivors Annuities Fund................................................................................................................................</t>
  </si>
  <si>
    <t>Kennedy Center Revenue Bond Sinking Fund............................................................................................................</t>
  </si>
  <si>
    <t>912828  AT7</t>
  </si>
  <si>
    <t>Unstripped Form</t>
  </si>
  <si>
    <t>Stripped Form</t>
  </si>
  <si>
    <t>Treasury Bonds:</t>
  </si>
  <si>
    <t>Claims Court Judges Retirement Fund.........................................................................................................................</t>
  </si>
  <si>
    <t>Bequests and Gifts, Disaster Relief, Funds Appropriated to the President......................................................................................................................................…</t>
  </si>
  <si>
    <t>securities through custodians other than Treasury for which data is not available.</t>
  </si>
  <si>
    <t>SOUTHERN NEVADA PUBLIC LAND MANAGEMENT ACT OF 1998</t>
  </si>
  <si>
    <t>14X5232</t>
  </si>
  <si>
    <t>The data reported represents a one or two month lag behind the date of the Monthly Statement of the Public Debt.</t>
  </si>
  <si>
    <t>(Millions of dollars)</t>
  </si>
  <si>
    <t>Amount Outstanding in Thousands</t>
  </si>
  <si>
    <t xml:space="preserve">*  </t>
  </si>
  <si>
    <t>NATURAL RESOURCE DAMAGE ASSESSMENT AND RESTORATION FUND, U.S. FISH AND WILDLIFE SERVICE, INTERIOR</t>
  </si>
  <si>
    <t>14X5198</t>
  </si>
  <si>
    <t>NUCLEAR WASTE DISPOSAL FUND, DEPARTMENT OF ENERGY</t>
  </si>
  <si>
    <t>89X5227</t>
  </si>
  <si>
    <t>20X8185</t>
  </si>
  <si>
    <t>NATIONAL CREDIT UNION SHARE INSURANCE FUND</t>
  </si>
  <si>
    <t>25X4468</t>
  </si>
  <si>
    <t>NATIONAL GIFT FUND, NATIONAL ARCHIVES AND RECORDS ADMINISTRATION</t>
  </si>
  <si>
    <t>88X8127</t>
  </si>
  <si>
    <t>WAGE AND HOUR AND PUBLIC CONTRACTS RESTITUTION FUND, LABOR</t>
  </si>
  <si>
    <t>SMITHSONIAN ENDOWMENT FUND, SMITHSONIAN INSTITUTION</t>
  </si>
  <si>
    <t>33X62201</t>
  </si>
  <si>
    <t>SPECIAL INVESTMENT ACCOUNT</t>
  </si>
  <si>
    <t>95X6167</t>
  </si>
  <si>
    <t>THRIFT SAVINGS FUND, FEDERAL RETIREMENT THRIFT INVESTMENT BOARD</t>
  </si>
  <si>
    <t>26X6153</t>
  </si>
  <si>
    <t>TREASURY DEPOSIT FUNDS</t>
  </si>
  <si>
    <t>20X6420</t>
  </si>
  <si>
    <t>UNEARNED COPYRIGHT FEES, LIBRARY OF CONGRESS</t>
  </si>
  <si>
    <t>03X6206</t>
  </si>
  <si>
    <t>Native American Institutions Endowment Fund.......................................................................................................................................................................................................................................…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</si>
  <si>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and Wildlife Service, Interior..........................................................................................................................................................................................................................................................</t>
  </si>
  <si>
    <t>Total United States Savings Bonds....................</t>
  </si>
  <si>
    <t>United States Individual Retirement</t>
  </si>
  <si>
    <t xml:space="preserve">  Bonds................................................................</t>
  </si>
  <si>
    <t xml:space="preserve">United States Retirement Plan </t>
  </si>
  <si>
    <t xml:space="preserve">  Bonds........................................................</t>
  </si>
  <si>
    <t>Nonmarketable--Continued:</t>
  </si>
  <si>
    <t>Abandoned Mines Reclamation Fund, Office of Surface Mining Reclamation</t>
  </si>
  <si>
    <t>TRUST FUND, THE BARRY GOLDWATER SCHOLARSHIP AND EXCELLENCE IN EDUCATION FUND</t>
  </si>
  <si>
    <t>95X8281</t>
  </si>
  <si>
    <t>UNEMPLOYMENT TRUST FUND</t>
  </si>
  <si>
    <t>20X8042</t>
  </si>
  <si>
    <t>UNITED STATES ENRICHMENT CORPORATION FUND</t>
  </si>
  <si>
    <t>95X4054</t>
  </si>
  <si>
    <t>CUSTODIAL TRIBAL FUND, OFFICE OF THE SPECIAL TRUSTEE FOR AMERICAN INDIANS</t>
  </si>
  <si>
    <t>14X6803</t>
  </si>
  <si>
    <t>DEPOSITS OF PROCEEDS OF LANDS WITHDRAWN FOR NATIVE SELECTION, BUREAU OF INDIAN AFFAIRS</t>
  </si>
  <si>
    <t>14X6140</t>
  </si>
  <si>
    <t>ESCROW ACCOUNT, NATIONAL LABOR RELATIONS BOARD</t>
  </si>
  <si>
    <t>63X6154</t>
  </si>
  <si>
    <t>Notes.......................................................................................…</t>
  </si>
  <si>
    <r>
      <t>Bonds</t>
    </r>
    <r>
      <rPr>
        <sz val="14"/>
        <rFont val="Arial"/>
        <family val="2"/>
      </rPr>
      <t>......................................................................................</t>
    </r>
  </si>
  <si>
    <t>This statement is available at 3 p.m. Eastern time on the 4th</t>
  </si>
  <si>
    <r>
      <t xml:space="preserve">workday of each month, at </t>
    </r>
    <r>
      <rPr>
        <b/>
        <u val="single"/>
        <sz val="22"/>
        <rFont val="Arial"/>
        <family val="2"/>
      </rPr>
      <t>www.publicdebt.treas.gov</t>
    </r>
  </si>
  <si>
    <t>912827 6R8</t>
  </si>
  <si>
    <t>912828  CZ1</t>
  </si>
  <si>
    <t>912827  6R8</t>
  </si>
  <si>
    <t>Operation and Maintenance, Indian Irrigation Systems, Bureau of Indian Affairs...........................................................................................................................................................</t>
  </si>
  <si>
    <t xml:space="preserve">   Act, as amended, Department of Labor................................................................................................................................................................................................................……….</t>
  </si>
  <si>
    <t>Redeemable at option of United States on and after dates indicated, unless otherwise shown, but only on interest dates on 4 months' notice.</t>
  </si>
  <si>
    <t>Redeemable on demand.</t>
  </si>
  <si>
    <t>These securities are exempt from all taxation now or hereafter imposed on the principal by any state or any possession of the United States or of any</t>
  </si>
  <si>
    <t>local taxing authority.</t>
  </si>
  <si>
    <t xml:space="preserve">  Grand Total...................................................................................................................................</t>
  </si>
  <si>
    <t>*</t>
  </si>
  <si>
    <t>Represents the unamortized discount on Treasury Bills and zero-coupon Treasury Bonds.</t>
  </si>
  <si>
    <t>Total Treasury Bonds...............................................................................…</t>
  </si>
  <si>
    <t>Christopher Columbus Scholarship Fund, Christopher Columbus</t>
  </si>
  <si>
    <t>FEDERAL SHIP FINANCING ESCROW FUND, MARITIME ADMINISTRATION</t>
  </si>
  <si>
    <t>United States Government Life Insurance Fund, Department of Veterans Affairs........................................................................................................................................................</t>
  </si>
  <si>
    <t>Issued pursuant to Sec. 832(e), Internal Revenue Code of 1954.</t>
  </si>
  <si>
    <t>TAX STATUS:</t>
  </si>
  <si>
    <t>c</t>
  </si>
  <si>
    <t>bearing issue dates prior to February 2003 retain the 6 month minimum holding period from the date of issue at which time they may be redeemed at the</t>
  </si>
  <si>
    <t xml:space="preserve">option of the owner. </t>
  </si>
  <si>
    <t>JAMES MADISON MEMORIAL FELLOWSHIP FOUNDATION FUND</t>
  </si>
  <si>
    <t>95X8282</t>
  </si>
  <si>
    <t>Aviation Insurance Revolving Fund..................................................................................................................................…</t>
  </si>
  <si>
    <t>07/31-01/31</t>
  </si>
  <si>
    <t xml:space="preserve"> Series HH..........................................................</t>
  </si>
  <si>
    <t>Custodial Tribal Fund, Office of the Special Trustee for American Indians...............................................................................…</t>
  </si>
  <si>
    <t>National Institutes of Health Conditional Gift Fund.........................................................................................................................................................................................................…</t>
  </si>
  <si>
    <t>Total Unmatured Treasury Bonds...............................................................................…</t>
  </si>
  <si>
    <t>Total Matured Treasury Bonds...............................................................................…</t>
  </si>
  <si>
    <t>Gifts, Central Intelligence Agency.................................................................................................................................................................…</t>
  </si>
  <si>
    <t>Special Investment Account.................................................................................................................................................................…</t>
  </si>
  <si>
    <t>auctions 4-,13- and 26- week bills.</t>
  </si>
  <si>
    <t>as ordinary income.  Under Section 1281 of the Internal Revenue Code, some holder of Treasury Bills are required to include currently in income a portion</t>
  </si>
  <si>
    <t>Other Debt Not Subject to Limit..................................................................................…</t>
  </si>
  <si>
    <t>BEQUESTS AND GIFTS, DISASTER RELIEF, FUNDS APPROPRIATED TO THE PRESIDENT</t>
  </si>
  <si>
    <t>COAST GUARD GENERAL GIFT FUND</t>
  </si>
  <si>
    <t>The difference between the price paid for a Treasury Bill and the amount received at redemption upon maturity is treated as ordinary income.  If the bill is</t>
  </si>
  <si>
    <r>
      <t xml:space="preserve">Total Matured Treasury Notes </t>
    </r>
    <r>
      <rPr>
        <sz val="12"/>
        <rFont val="Arial"/>
        <family val="0"/>
      </rPr>
      <t>...............................................................................…</t>
    </r>
  </si>
  <si>
    <t>912795  VY4</t>
  </si>
  <si>
    <t>912795  VZ1</t>
  </si>
  <si>
    <t>912795  WA5</t>
  </si>
  <si>
    <t>912795  WB3</t>
  </si>
  <si>
    <t>912828  DS6</t>
  </si>
  <si>
    <t>902828  DS6</t>
  </si>
  <si>
    <t>912820  LP0</t>
  </si>
  <si>
    <t>912828  DT4</t>
  </si>
  <si>
    <t>912820  LQ8</t>
  </si>
  <si>
    <t>912828  DU1</t>
  </si>
  <si>
    <t>912820  LR6</t>
  </si>
  <si>
    <t>912828  DV9</t>
  </si>
  <si>
    <t>912820  LS4</t>
  </si>
  <si>
    <t>912828  DW7</t>
  </si>
  <si>
    <t>912810  EJ3</t>
  </si>
  <si>
    <t>912810  EK0</t>
  </si>
  <si>
    <t>912810  EL8</t>
  </si>
  <si>
    <t>912810  EM6</t>
  </si>
  <si>
    <t>912810  EN4</t>
  </si>
  <si>
    <t>912810  EP9</t>
  </si>
  <si>
    <t>912810  EQ7</t>
  </si>
  <si>
    <t>912810  ES3</t>
  </si>
  <si>
    <t>912810  ET1</t>
  </si>
  <si>
    <t>912810  EV6</t>
  </si>
  <si>
    <t>912810  EW4</t>
  </si>
  <si>
    <t>912810  EX2</t>
  </si>
  <si>
    <t>912810  EY0</t>
  </si>
  <si>
    <t>912810  EZ7</t>
  </si>
  <si>
    <t>912810  FA1</t>
  </si>
  <si>
    <t>912810  FB9</t>
  </si>
  <si>
    <t>912810  FE3</t>
  </si>
  <si>
    <t>912810  FF0</t>
  </si>
  <si>
    <t>912810  FG8</t>
  </si>
  <si>
    <t>912810  FJ2</t>
  </si>
  <si>
    <t>912810  FM5</t>
  </si>
  <si>
    <t>912810  FP8</t>
  </si>
  <si>
    <t>912827  3T7</t>
  </si>
  <si>
    <t>912827  4Y5</t>
  </si>
  <si>
    <t>912827  5W8</t>
  </si>
  <si>
    <t>912827  7J5</t>
  </si>
  <si>
    <t>912828  BD1</t>
  </si>
  <si>
    <t>912828  BW9</t>
  </si>
  <si>
    <t>912828  CP3</t>
  </si>
  <si>
    <t>912828  DH0</t>
  </si>
  <si>
    <t>912810  FD5</t>
  </si>
  <si>
    <t>912810  FH6</t>
  </si>
  <si>
    <t>912810  FQ6</t>
  </si>
  <si>
    <t>912795  VL2</t>
  </si>
  <si>
    <t>RELIEF AND REHABILITATION, LONGSHOREMEN'S AND HARBOR WORKERS' COMPENSATION ACT, AS AMENDED, DEPARTMENT OF L</t>
  </si>
  <si>
    <t>16X8130</t>
  </si>
  <si>
    <t>Veterans Special Life Insurance Fund, Trust Revolving Fund, Department of</t>
  </si>
  <si>
    <t>Vietnam Claims Fund, Financial Management Service....................................................................................................</t>
  </si>
  <si>
    <t>Voluntary Separation Incentive Fund, Defense..........................................................................................................................</t>
  </si>
  <si>
    <t>War-Risk Insurance Revolving Fund, Maritime Administration......................................................................................</t>
  </si>
  <si>
    <t>Department of Defense Military Retirement Fund.......................................................................................................</t>
  </si>
  <si>
    <t>Department of the Air Force General Gift Fund...........................................................................................................</t>
  </si>
  <si>
    <t>CHEYENNE RIVER SIOUX TRIBE TERRESTRIAL WILDLIFE HABITAT RESTORATION TRUST FUND</t>
  </si>
  <si>
    <t>20X8209</t>
  </si>
  <si>
    <t>CHRISTOPHER COLUMBUS SCHOLARSHIP FUND, CHRISTOPHER COLUMBUS FELLOWSHIP FOUNDATION</t>
  </si>
  <si>
    <t>76X8187</t>
  </si>
  <si>
    <t>CIVIL SERVICE RETIREMENT AND DISABILITY FUND, OFFICE OF PERSONNEL MANAGEMENT</t>
  </si>
  <si>
    <t>24X8135</t>
  </si>
  <si>
    <t>CLAIMS COURT JUDGES RETIREMENT FUND</t>
  </si>
  <si>
    <t>10X8124</t>
  </si>
  <si>
    <t>70X8533</t>
  </si>
  <si>
    <t>COMMUNITY DEVELOPMENT CREDIT UNION REVOLVING FUND, NATIONAL CREDIT UNION ADMINISTRATION</t>
  </si>
  <si>
    <t>25X4472</t>
  </si>
  <si>
    <t>CONTRIBUTIONS, AMERICAN BATTLE MONUMENTS COMMISSION</t>
  </si>
  <si>
    <t>COURT OF VETERANS APPEALS RETIREMENT FUND</t>
  </si>
  <si>
    <t>95X8290</t>
  </si>
  <si>
    <t>DEPARTMENT OF DEFENSE, EDUCATION BENEFITS FUND</t>
  </si>
  <si>
    <t>97X8098</t>
  </si>
  <si>
    <t>DEPARTMENT OF DEFENSE MEDICARE ELIGIBLE RETIREE FUND</t>
  </si>
  <si>
    <t>97X5472</t>
  </si>
  <si>
    <t>DEPARTMENT OF DEFENSE MILITARY RETIREMENT FUND</t>
  </si>
  <si>
    <t>97X8097</t>
  </si>
  <si>
    <t>Environmental Improvement and Restoration Fund..........................................................................................................................................................................................................................…</t>
  </si>
  <si>
    <t>EISENHOWER EXCHANGE FELLOWSHIP PROGRAM TRUST FUND</t>
  </si>
  <si>
    <t>95X8276</t>
  </si>
  <si>
    <t>EMPLOYEES' HEALTH BENEFITS FUND, OFFICE OF PERSONNEL MANAGEMENT</t>
  </si>
  <si>
    <t>24X8440</t>
  </si>
  <si>
    <t>EMPLOYEES' LIFE INSURANCE FUND, OFFICE OF PERSONNEL MANAGEMENT</t>
  </si>
  <si>
    <t>24X8424</t>
  </si>
  <si>
    <t>ENDEAVOR TEACHER FELLOWSHIP TRUST FUND</t>
  </si>
  <si>
    <t>80X8550</t>
  </si>
  <si>
    <t>IRANIAN CLAIMS SETTLEMENT FUND, TREASURY DEPARTMENT</t>
  </si>
  <si>
    <t>20X6312</t>
  </si>
  <si>
    <t>ASSETS FORFEITRUE FUND, JUSTICE</t>
  </si>
  <si>
    <t>15X5042</t>
  </si>
  <si>
    <t>AVIATION INSURANCE REVOLVING FUND</t>
  </si>
  <si>
    <t>69X41201</t>
  </si>
  <si>
    <t>BANK INSURANCE FUND, THE</t>
  </si>
  <si>
    <t>51X4064</t>
  </si>
  <si>
    <t>BELIZE ESCROW, DEBT REDUCTION, TREASURY</t>
  </si>
  <si>
    <t>20X6317</t>
  </si>
  <si>
    <t>70X8244</t>
  </si>
  <si>
    <t>LOWER BRULE SIOUX TRIBE TERRESTRIAL WILDLIFE HABITAT RESTORATION TRUST FUND</t>
  </si>
  <si>
    <t>20X8207</t>
  </si>
  <si>
    <t>Bills are sold by competitive bidding on a bank discount yield basis.  The sale price of these securities gives an approximate yield on a  bank discount</t>
  </si>
  <si>
    <t>International Center for Middle Eastern-Western Dialogue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</si>
  <si>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7   e</t>
  </si>
  <si>
    <t>7  e</t>
  </si>
  <si>
    <t>11 e</t>
  </si>
  <si>
    <t>13  e</t>
  </si>
  <si>
    <t>FEDERAL HOUSING ADMINISTRATION - LIQUIDATING ACCOUNT, HOUSING AND URBAN DEVELOPMENT</t>
  </si>
  <si>
    <t>HAZARDOUS SUBSTANCE SUPERFUND</t>
  </si>
  <si>
    <t>Total Treasury Inflation-Protected Securities.................................................</t>
  </si>
  <si>
    <t>National and Federal Reserve Bank Notes assumed by the United States on deposit of lawful money for their retirement ...........................................................................................</t>
  </si>
  <si>
    <t>United States Note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</si>
  <si>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sold before maturity, part of the difference between the holder's basis (cost) and the gain realized may be treated as capital gain and part may be treated</t>
  </si>
  <si>
    <t>Domestic Series..................................................................................…</t>
  </si>
  <si>
    <t>Foreign Series..................................................................................…</t>
  </si>
  <si>
    <t>Exchange Stabilization Fund, Office of the Secretary, Treasury................................................................................................................</t>
  </si>
  <si>
    <t>Russian Leadership Development Trust Fund................................................................................................................................................................................…</t>
  </si>
  <si>
    <t>Operating Fund, National Credit Union Administration.........................................................................................</t>
  </si>
  <si>
    <t>Kuukpik Alaska Escrow Fund.................................................................................................................................................................…</t>
  </si>
  <si>
    <t>For price and yield ranges of unmatured securities issued at a premium or discount see Table 3, Public Debt Operations of the quarterly Treasury Bulletin.</t>
  </si>
  <si>
    <t>JAPAN-UNITED STATES FRIENDSHIP TRUST FUND, JAPAN-UNITED STATES FRIENDSHIP COMMISSION</t>
  </si>
  <si>
    <t>95X8025</t>
  </si>
  <si>
    <t>JOHN C. STENNIS CENTER FOR PUBLIC SERVICE TRAINING AND DEVELOPMENT</t>
  </si>
  <si>
    <t>09X8275</t>
  </si>
  <si>
    <t>These long-term marketable securities have  been issued to the Civil Service Retirement Fund and are not currently traded in the market.</t>
  </si>
  <si>
    <r>
      <t xml:space="preserve">Statutory Debt Limit  </t>
    </r>
    <r>
      <rPr>
        <vertAlign val="superscript"/>
        <sz val="14"/>
        <rFont val="Arial"/>
        <family val="2"/>
      </rPr>
      <t>5</t>
    </r>
    <r>
      <rPr>
        <sz val="14"/>
        <rFont val="Arial"/>
        <family val="2"/>
      </rPr>
      <t>.......................................................................................................................................................................…....................................................................................................</t>
    </r>
  </si>
  <si>
    <t>6  d</t>
  </si>
  <si>
    <t>DEPOSITS, OUTER CONTINENTAL SHELF LANDS ACT, BONUS BIDS, MINERALS MANAGEMENT SERVICE</t>
  </si>
  <si>
    <t>14X6705</t>
  </si>
  <si>
    <t>PATIENTS BENEFIT FUND, NATIONAL INSTITUTES OF HEALTH</t>
  </si>
  <si>
    <t>75X8888</t>
  </si>
  <si>
    <t>Corpus</t>
  </si>
  <si>
    <t>STRIP</t>
  </si>
  <si>
    <t>Maturity Date</t>
  </si>
  <si>
    <t>912828  DQ0</t>
  </si>
  <si>
    <t>912820  LM7</t>
  </si>
  <si>
    <t>912795  VT5</t>
  </si>
  <si>
    <t>912795  VS7</t>
  </si>
  <si>
    <t>912795  VR9</t>
  </si>
  <si>
    <t>912795  VQ1</t>
  </si>
  <si>
    <t>912757  VP3</t>
  </si>
  <si>
    <t>912828  DP2</t>
  </si>
  <si>
    <t>912820  LL9</t>
  </si>
  <si>
    <t>Thrift Savings Fund, Federal Retirement Thrift Investment Board….……....….......…………</t>
  </si>
  <si>
    <t>SAVING ASSOCIATION INSURANCE FUND, THE</t>
  </si>
  <si>
    <t>51X4066</t>
  </si>
  <si>
    <t xml:space="preserve">   and Space Administration.........................................................................................................................................................................................................................................……….</t>
  </si>
  <si>
    <t>INTERNATIONAL CENTER FOR MIDDLE EASTERN-WESTERN DIALOGUE TRUST FUND</t>
  </si>
  <si>
    <t>19X8813</t>
  </si>
  <si>
    <t>Treasury Time Deposit  - Certificates</t>
  </si>
  <si>
    <t xml:space="preserve">  of Indebtedness (Various rates)............................................</t>
  </si>
  <si>
    <t xml:space="preserve"> At maturity</t>
  </si>
  <si>
    <t>Treasury Time Deposit - Notes</t>
  </si>
  <si>
    <t>Eisenhower Exchange Fellowship Program Trust Fund........................................................................................</t>
  </si>
  <si>
    <t>Tribal Special Fund, Office of the Special Trustee for American Indians.......................................................................</t>
  </si>
  <si>
    <t>Community Development Credit Union Revolving Fund</t>
  </si>
  <si>
    <t>Gifts and Bequests, Office of the Secretary, Department of Transportation........................................…</t>
  </si>
  <si>
    <t>Debt Subject to Limit:</t>
  </si>
  <si>
    <t>Court of Veterans Appeals Retirement Fund.............................................................................................................................................</t>
  </si>
  <si>
    <t>Reserve Mobilization Income Insurance Fund, Defense...........................................................................................................................................................................................................................................................……….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</si>
  <si>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Oliver Wendell Holmes Devise Fund, Library of Congress.........................................................................................</t>
  </si>
  <si>
    <t xml:space="preserve"> Income derived from these securities is subject to all taxes now or hereafter imposed under the Internal Revenue Code of 1986, as amended.</t>
  </si>
  <si>
    <t>e</t>
  </si>
  <si>
    <t>Marketable, Continued:</t>
  </si>
  <si>
    <t>USAO/CDR-E Account, U.S. Attorneys, Justice…………………………………………………………………………….</t>
  </si>
  <si>
    <t>912820  LT2</t>
  </si>
  <si>
    <t>Amounts issued, retired, and outstanding for Series E, EE, and I Savings Bonds and Savings Notes are stated at cost plus accrued discount.  Amounts issued,</t>
  </si>
  <si>
    <t>retired, and outstanding for Series H and HH Bonds are stated at face value.</t>
  </si>
  <si>
    <t>Esther Cattell Schmitt Gift Fund, Treasury.......................................................................................................................................</t>
  </si>
  <si>
    <t>irretrievably lost.</t>
  </si>
  <si>
    <t>Bequests of Major General Fred C. Ainsworth, Library, Walter Reed</t>
  </si>
  <si>
    <t>Cheyenne River Sioux Tribe Terrestrial Wildlife Habitat Restoration</t>
  </si>
  <si>
    <t>Lower Brule Sioux Tribe Terrestrial Wildlife Habitat Restoration Trust Fund.........................................................................................</t>
  </si>
  <si>
    <t>pursuant to Act of June 30, 1961, 31 U.S.C. 5119 to have been destroyed or irretrievably lost.</t>
  </si>
  <si>
    <t>69X6012</t>
  </si>
  <si>
    <t>GIFTS, CENTRAL INTELLIGENCE AGENCY</t>
  </si>
  <si>
    <t>56X6146</t>
  </si>
  <si>
    <t>The minimum holding period has been extended from 6 to 12 months, effective with issues dated on and after February 1, 2003.  Series EE and I Savings Bonds</t>
  </si>
  <si>
    <t>PUBLIC HEALTH SERVICE CONDITIONAL GIFT FUND, HEALTH RESOURCES AND SERVICES ADMINISTRATION</t>
  </si>
  <si>
    <t>75X8254</t>
  </si>
  <si>
    <t>RAILROAD RETIREMENT ACCOUNT</t>
  </si>
  <si>
    <t>60X8011</t>
  </si>
  <si>
    <t xml:space="preserve">Funds Held by the Public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</si>
  <si>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DISGORGEMENT PENALTY AMOUNTS HELD FOR INVESTMENT</t>
  </si>
  <si>
    <t xml:space="preserve">Funds held by the Government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</si>
  <si>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BOTANIC GARDENS, GIFTS AND DONATIONS</t>
  </si>
  <si>
    <t>09X8292</t>
  </si>
  <si>
    <t>74X85691</t>
  </si>
  <si>
    <t>HOST NATION SUPPORT FOR U. S. RELOCATION ACTIVITIES ACCOUNT</t>
  </si>
  <si>
    <t>97X8337</t>
  </si>
  <si>
    <t>NATIONAL LAW ENFORCEMENT OFFICERS MEMORIAL MAINTENANCE FUND</t>
  </si>
  <si>
    <t>14X4195</t>
  </si>
  <si>
    <t>audit and subsequent adjustments.</t>
  </si>
  <si>
    <t>Totals</t>
  </si>
  <si>
    <t>Other Debt Subject to Limit:</t>
  </si>
  <si>
    <t>Less Amounts Not Subject to Limit:</t>
  </si>
  <si>
    <t>Amount Outstanding</t>
  </si>
  <si>
    <t>Intragovernmental</t>
  </si>
  <si>
    <t>Holdings</t>
  </si>
  <si>
    <t>Debt Held</t>
  </si>
  <si>
    <t xml:space="preserve">  Government Account Series - Held By the Public:</t>
  </si>
  <si>
    <t>National Institutes of Health Unconditional Gift Fund...............................................................................................…</t>
  </si>
  <si>
    <t>Guarantees of Mortgage-Backed Securities Fund, Government National</t>
  </si>
  <si>
    <t>Energy Employees Occupational Illness Compensation Fund.................................................................................................................................................................…</t>
  </si>
  <si>
    <t>ENVIRONMENTAL IMPROVEMENT AND RESTORATION FUND</t>
  </si>
  <si>
    <t>14X5425</t>
  </si>
  <si>
    <t>Utah Reclamation Mitigation and Conservation Account, Interior........................................................................................................</t>
  </si>
  <si>
    <t>Government Account Series - Intragovernmental Holdings:</t>
  </si>
  <si>
    <t>Other Debt:</t>
  </si>
  <si>
    <t>Government Account Series - Intragovernmental Holdings--Continued:</t>
  </si>
  <si>
    <t>Retired Employees Health Benefits Fund,</t>
  </si>
  <si>
    <t>b</t>
  </si>
  <si>
    <t>Coast Guard General Gift Fund..........................................................................................................................................…</t>
  </si>
  <si>
    <t>State and Local Government Series:</t>
  </si>
  <si>
    <t>Excludes $29 million National Bank Notes issued prior to July 1, 1929, and $2 million Federal Reserve Bank Notes issued prior to July 1, 1929, determined</t>
  </si>
  <si>
    <t>CONDITIONAL GIFT FUND, GENERAL, DEPARTMENT OF STATE</t>
  </si>
  <si>
    <t>19X8822</t>
  </si>
  <si>
    <t>UNCONDITIONAL GIFT FUND, DEPARTMENT OF STATE</t>
  </si>
  <si>
    <t>19X8821</t>
  </si>
  <si>
    <t xml:space="preserve">    National Credit Union Administration.................................................................................................................................................................…</t>
  </si>
  <si>
    <t>Treasury Forfeiture Fund.................................................................................................................................................</t>
  </si>
  <si>
    <t>912828  CQ1</t>
  </si>
  <si>
    <t>02/28-08/31</t>
  </si>
  <si>
    <t>912827  5Z1</t>
  </si>
  <si>
    <t>912828  CS7</t>
  </si>
  <si>
    <t>ENERGY EMPLOYEES OCCUPATIONAL ILLNESS COMPENSATION FUND</t>
  </si>
  <si>
    <t>16X1523</t>
  </si>
  <si>
    <t>Silver Certificates (Act of June 24, 1967)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</si>
  <si>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Uranium Enrichment and Decommissioning Fund, Department of Energy.........................................................................................................</t>
  </si>
  <si>
    <t>MORRIS K. UDALL SCHOLARSHIP AND EXCELLENCE IN NATIONAL ENVIRONMENTAL POLICY TRUST FUND</t>
  </si>
  <si>
    <t>95X8615</t>
  </si>
  <si>
    <t>Revolving Fund for Administrative Expense, Farm Credit Administration................................................................................................................................................................................…</t>
  </si>
  <si>
    <t>Bank Insurance Fund, The............................................................................................................................................................................................…</t>
  </si>
  <si>
    <t>Government Account Series..................................................................................…</t>
  </si>
  <si>
    <t>Other..................................................................................…</t>
  </si>
  <si>
    <t>Total Treasury Bills...............................................................................…</t>
  </si>
  <si>
    <t>20X4108</t>
  </si>
  <si>
    <t>DC</t>
  </si>
  <si>
    <t>Total Unmatured Treasury Notes...............................................................................…</t>
  </si>
  <si>
    <t>Total Treasury Notes...............................................................................…</t>
  </si>
  <si>
    <t>United States Savings Securities:</t>
  </si>
  <si>
    <t>United States Savings Bonds:</t>
  </si>
  <si>
    <t>912827  2J0</t>
  </si>
  <si>
    <t>912828  BQ2</t>
  </si>
  <si>
    <t>912827  5G3</t>
  </si>
  <si>
    <t>Saving Association Insurance Fund, The..................................................................................................................</t>
  </si>
  <si>
    <t>ABANDONED MINES RECLAMATION FUND, OFFICE OF SURFACE MINING RECLAMATION AND ENFORCEMENT</t>
  </si>
  <si>
    <t>14X5015</t>
  </si>
  <si>
    <t>AIRPORT AND AIRWAY TRUST FUND</t>
  </si>
  <si>
    <t>20X8103</t>
  </si>
  <si>
    <t>ALBANIAN CLAIMS FUND, TREASURY DEPARTMENT</t>
  </si>
  <si>
    <t>20X6104</t>
  </si>
  <si>
    <t>AQUATIC RESOURCES TRUST FUND</t>
  </si>
  <si>
    <t>20X81472</t>
  </si>
  <si>
    <t>ARMED FORCES RETIREMENT HOME TRUST FUND</t>
  </si>
  <si>
    <t>GENERAL POST FUND, NATIONAL HOMES, DEPARTMENT OF VETERANS AFFAIRS</t>
  </si>
  <si>
    <t>36X8180</t>
  </si>
  <si>
    <t>GERMAN DEMOCRATIC REPUBLIC SETTLEMENT FUND</t>
  </si>
  <si>
    <t>VETERANS SPECIAL LIFE INSURANCE FUND, TRUST REVOLVING FUND, DEPARTMENT OF VETERANS AFFAIRS</t>
  </si>
  <si>
    <t>36X8455</t>
  </si>
  <si>
    <t>VIETNAM CLAIMS FUND, FINANCIAL MANAEMENT SERVICE</t>
  </si>
  <si>
    <t>20X6315</t>
  </si>
  <si>
    <t>VOLUNTARY SEPARATION INCENTIVE FUND, DEFENSE</t>
  </si>
  <si>
    <t>97X8335</t>
  </si>
  <si>
    <t>ISRAELI ARAB SCHOLARSHIP PROGRAM, UNITED STATES INFORMATION AGENCY</t>
  </si>
  <si>
    <t>19X8271</t>
  </si>
  <si>
    <t>16X6507</t>
  </si>
  <si>
    <t>PRISON INDUSTRIES FUND, DEPARTMENT OF JUSTICE</t>
  </si>
  <si>
    <t>15X4500</t>
  </si>
  <si>
    <t xml:space="preserve"> Series I..............................................................</t>
  </si>
  <si>
    <t>912828  CY4</t>
  </si>
  <si>
    <t>U</t>
  </si>
  <si>
    <t>912827  7F3</t>
  </si>
  <si>
    <t>84X8522</t>
  </si>
  <si>
    <t>912795  VU2</t>
  </si>
  <si>
    <t>912795  VV0</t>
  </si>
  <si>
    <t>912795  VW8</t>
  </si>
  <si>
    <t>912795  VX6</t>
  </si>
  <si>
    <t>912828  DR8</t>
  </si>
  <si>
    <t>912820  LN5</t>
  </si>
  <si>
    <t xml:space="preserve">   Credit Administration 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</si>
  <si>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912810  FR4</t>
  </si>
  <si>
    <t>Wage and Hour and Public Contracts Restitution Fund, Labor...............................................................................…</t>
  </si>
  <si>
    <t>Fiscal Year 2005 to Date</t>
  </si>
  <si>
    <t>Department of Defense, Medicare Eligible Retiree Fund.....................................................................................................</t>
  </si>
  <si>
    <t>Defense Cooperation Account.....................................................................................................</t>
  </si>
  <si>
    <t>912827  X80</t>
  </si>
  <si>
    <t>GIFTS AND DONATIONS, NATIONAL ENDOWMENT OF THE ARTS</t>
  </si>
  <si>
    <t>59X8040</t>
  </si>
  <si>
    <t>GUARANTEES OF MORTGAGE-BACKED SECURITIES FUND, GOVERNMENT NATIONAL MORTGAGE ASSOCIATION, HOUSING AND URBAN</t>
  </si>
  <si>
    <t>86X4238</t>
  </si>
  <si>
    <t>HARBOR MAINTENANCE TRUST FUND</t>
  </si>
  <si>
    <t>20X8863</t>
  </si>
  <si>
    <t>Oil Spill Liability Trust Fund.............................................................................................................................................</t>
  </si>
  <si>
    <t>GIFTS AND BEQUESTS, TREASURY</t>
  </si>
  <si>
    <t>20X8790</t>
  </si>
  <si>
    <t>RESERVE MOBILIZATION INCOME INSURANCE FUND, DEFENSE</t>
  </si>
  <si>
    <t>97X4179</t>
  </si>
  <si>
    <t>Gifts and Bequests, Treasury............................................................................................................................................</t>
  </si>
  <si>
    <t>Unemployment Trust Fund..............................................................................................................................................</t>
  </si>
  <si>
    <t>Zero-coupon Treasury Bond.......................................</t>
  </si>
  <si>
    <t>Included in this total are marketable securities held by Federal agencies for which Treasury serves as the custodian.  Federal agencies may hold marketable</t>
  </si>
  <si>
    <t>Debentures issued (series MM) by FHA that are redeemable with 3 months' notification.</t>
  </si>
  <si>
    <t>Comparative by Breakdown</t>
  </si>
  <si>
    <t>09/15-03/15</t>
  </si>
  <si>
    <t>08/31-02/28</t>
  </si>
  <si>
    <t>912828  CB4</t>
  </si>
  <si>
    <t>Pursuant to 31 U.S.C. 3101(b).  By Act of November 19, 2004, Public Law 108-415, the Statutory Debt Limit was permanently increased to $8,184,000 million.</t>
  </si>
  <si>
    <t>ASSESSMENT FUNDS, OFFICE OF THE COMPTROLLER OF THE CURRENCY</t>
  </si>
  <si>
    <t>20X8413</t>
  </si>
  <si>
    <t>JUDICIAL OFFICERS RETIREMENT FUND</t>
  </si>
  <si>
    <t>10X8122</t>
  </si>
  <si>
    <t>JUDICIAL SURVIVORS ANNUITIES FUND</t>
  </si>
  <si>
    <t>10X8110</t>
  </si>
  <si>
    <t>KENNEDY CENTER REVENUE BOND SINKING FUND</t>
  </si>
  <si>
    <t>20X6311</t>
  </si>
  <si>
    <t>LAND BETWEEN THE LAKES TRUST FUND</t>
  </si>
  <si>
    <t>12X8039</t>
  </si>
  <si>
    <t>LEAKING UNDERGROUND STORAGE TANK TRUST FUND</t>
  </si>
  <si>
    <t>20X8153</t>
  </si>
  <si>
    <t>LIBRARY OF CONGRESS GIFT FUND</t>
  </si>
  <si>
    <t>03X8031</t>
  </si>
  <si>
    <t>LIBRARY OF CONGRESS TRUST FUND</t>
  </si>
  <si>
    <t>03X8032</t>
  </si>
  <si>
    <t>LINCOLN COUNTY LAND ACT</t>
  </si>
  <si>
    <t>14X5469</t>
  </si>
  <si>
    <t>NATIVE AMERICAN INSTITUTIONS ENDOWMENT FUND</t>
  </si>
  <si>
    <t>12X5205</t>
  </si>
  <si>
    <t>Endeavor Teacher Fellowship Trust Fund.................................................................................................................................................................…</t>
  </si>
  <si>
    <t>Expenses, Presidio Trust.................................................................................................................................................................…</t>
  </si>
  <si>
    <t>Total Government Account Series.....................................................................................................................…</t>
  </si>
  <si>
    <t>912828  AH3</t>
  </si>
  <si>
    <t xml:space="preserve">    and Enforcement.................................................................................................................................................................…</t>
  </si>
  <si>
    <t>912803  AG8</t>
  </si>
  <si>
    <t>912803  AJ2</t>
  </si>
  <si>
    <t>912803  AC7</t>
  </si>
  <si>
    <t>912803  AE3</t>
  </si>
  <si>
    <t>912803  AF0</t>
  </si>
  <si>
    <t>912803  AH6</t>
  </si>
  <si>
    <t>912803  AK9</t>
  </si>
  <si>
    <t>912803  AL7</t>
  </si>
  <si>
    <t>912803  AM5</t>
  </si>
  <si>
    <t>912803  AN3</t>
  </si>
  <si>
    <t>912803  AP8</t>
  </si>
  <si>
    <t>912803  AQ6</t>
  </si>
  <si>
    <t>912803  AR4</t>
  </si>
  <si>
    <t>912803  AS2</t>
  </si>
  <si>
    <t>912803  AT0</t>
  </si>
  <si>
    <t>912803  AU7</t>
  </si>
  <si>
    <t>912803  AV5</t>
  </si>
  <si>
    <t>912803  AW3</t>
  </si>
  <si>
    <t>912803  AX1</t>
  </si>
  <si>
    <t>912803  AY9</t>
  </si>
  <si>
    <t>912803  AZ6</t>
  </si>
  <si>
    <t>912803  BA0</t>
  </si>
  <si>
    <t>912803  BB8</t>
  </si>
  <si>
    <t>912803  BC6</t>
  </si>
  <si>
    <t>912803  BD4</t>
  </si>
  <si>
    <t>912803  BE2</t>
  </si>
  <si>
    <t>912803  BF9</t>
  </si>
  <si>
    <t>912803  BG7</t>
  </si>
  <si>
    <t>912803  BH5</t>
  </si>
  <si>
    <t>912803  BJ1</t>
  </si>
  <si>
    <t>912803  BK8</t>
  </si>
  <si>
    <t>912803  BL6</t>
  </si>
  <si>
    <t>912803  BM4</t>
  </si>
  <si>
    <t>912803  BP7</t>
  </si>
  <si>
    <t>912803  BV4</t>
  </si>
  <si>
    <t>912803  BW2</t>
  </si>
  <si>
    <t>912803  CG6</t>
  </si>
  <si>
    <t>912803  CH4</t>
  </si>
  <si>
    <t>912803  CK7</t>
  </si>
  <si>
    <t>912820  BV8</t>
  </si>
  <si>
    <t>912820  CL9</t>
  </si>
  <si>
    <t>912820  DN4</t>
  </si>
  <si>
    <t>912820  EK9</t>
  </si>
  <si>
    <t>912820  KV8</t>
  </si>
  <si>
    <t>912820  GA9</t>
  </si>
  <si>
    <t>912820  GT8</t>
  </si>
  <si>
    <t>912820  HC4</t>
  </si>
  <si>
    <t>912820  JA6</t>
  </si>
  <si>
    <t>912820  JT5</t>
  </si>
  <si>
    <t>912820  KL0</t>
  </si>
  <si>
    <t>912820  LE5</t>
  </si>
  <si>
    <t>912803  CN1</t>
  </si>
  <si>
    <t>912803  BN2</t>
  </si>
  <si>
    <t>912803  CF8</t>
  </si>
  <si>
    <t>912803  CL5</t>
  </si>
  <si>
    <t>912820  LJ4</t>
  </si>
  <si>
    <t>912820  LB1</t>
  </si>
  <si>
    <t>912820  LD7</t>
  </si>
  <si>
    <t>912820  EM5</t>
  </si>
  <si>
    <t>912820  LH8</t>
  </si>
  <si>
    <t>912820  FT9</t>
  </si>
  <si>
    <t>912820  GC5</t>
  </si>
  <si>
    <t>912820  GL5</t>
  </si>
  <si>
    <t>912820  GV3</t>
  </si>
  <si>
    <t>912820  HF7</t>
  </si>
  <si>
    <t>912820  HL4</t>
  </si>
  <si>
    <t>912820  HR1</t>
  </si>
  <si>
    <t>912820  HX8</t>
  </si>
  <si>
    <t>912820  JE8</t>
  </si>
  <si>
    <t>912820  JN8</t>
  </si>
  <si>
    <t>912820  JX6</t>
  </si>
  <si>
    <t>912820  KF3</t>
  </si>
  <si>
    <t>912820  KQ9</t>
  </si>
  <si>
    <t>912820  KZ9</t>
  </si>
  <si>
    <t>912820  JB4</t>
  </si>
  <si>
    <t>912820  BP1</t>
  </si>
  <si>
    <t>912820  JF5</t>
  </si>
  <si>
    <t>912820  JH1</t>
  </si>
  <si>
    <t>912820  JK4</t>
  </si>
  <si>
    <t>912820  BQ9</t>
  </si>
  <si>
    <t>912820  FX0</t>
  </si>
  <si>
    <t>912820  JP3</t>
  </si>
  <si>
    <t>912820  JR9</t>
  </si>
  <si>
    <t>912820  JU2</t>
  </si>
  <si>
    <t>912820  BR7</t>
  </si>
  <si>
    <t>912820  JY4</t>
  </si>
  <si>
    <t>912820  KA4</t>
  </si>
  <si>
    <t>912820  KC0</t>
  </si>
  <si>
    <t>912820  BS5</t>
  </si>
  <si>
    <t>912820  GG6</t>
  </si>
  <si>
    <t>912820  HV2</t>
  </si>
  <si>
    <t>912820  KG1</t>
  </si>
  <si>
    <t>912820  KJ5</t>
  </si>
  <si>
    <t>912820  BT3</t>
  </si>
  <si>
    <t>912820  KM8</t>
  </si>
  <si>
    <t>912820  JC2</t>
  </si>
  <si>
    <t>912820  KR7</t>
  </si>
  <si>
    <t>912820  KT3</t>
  </si>
  <si>
    <t>912820  BU0</t>
  </si>
  <si>
    <t>912820  KW6</t>
  </si>
  <si>
    <t>912820  GQ4</t>
  </si>
  <si>
    <t>912820  JL2</t>
  </si>
  <si>
    <t>912820  LA3</t>
  </si>
  <si>
    <t>912820  LC9</t>
  </si>
  <si>
    <t>912820  LF2</t>
  </si>
  <si>
    <t>912820  BW6</t>
  </si>
  <si>
    <t>912820  JV0</t>
  </si>
  <si>
    <t>912820  LK1</t>
  </si>
  <si>
    <t>912820  BX4</t>
  </si>
  <si>
    <t>912820  EA1</t>
  </si>
  <si>
    <t>912820  KP1</t>
  </si>
  <si>
    <t>912820  KS5</t>
  </si>
  <si>
    <t>912820  KU0</t>
  </si>
  <si>
    <t>912820  KY2</t>
  </si>
  <si>
    <t>HARRY S. TRUMAN MEMORIAL SCHOLARSHIP TRUST FUND, HARRY S. TRUMAN SCHOLARSHIP FOUNDATION</t>
  </si>
  <si>
    <t>95X8296</t>
  </si>
  <si>
    <t>20X8145</t>
  </si>
  <si>
    <t>HIGHWAY TRUST FUND</t>
  </si>
  <si>
    <t>20X81022</t>
  </si>
  <si>
    <t>INLAND WATERWAYS TRUST FUND</t>
  </si>
  <si>
    <t>20X8861</t>
  </si>
  <si>
    <t>912828  BY5</t>
  </si>
  <si>
    <t>JUNE 30, 2005</t>
  </si>
  <si>
    <t>TABLE I -- SUMMARY OF TREASURY SECURITIES OUTSTANDING, JUNE 30, 2005</t>
  </si>
  <si>
    <t>TABLE II -- STATUTORY DEBT LIMIT, JUNE 30, 2005</t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</si>
  <si>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JUNE 30, 2005</t>
    </r>
  </si>
  <si>
    <r>
      <t xml:space="preserve">TABLE III - DETAIL OF </t>
    </r>
    <r>
      <rPr>
        <b/>
        <sz val="12"/>
        <rFont val="Arial"/>
        <family val="2"/>
      </rPr>
      <t xml:space="preserve">TREASURY SECURITIES </t>
    </r>
    <r>
      <rPr>
        <b/>
        <sz val="12"/>
        <rFont val="Arial"/>
        <family val="0"/>
      </rPr>
      <t>OUTSTANDING, JUNE 30, 2005 -- Continued</t>
    </r>
  </si>
  <si>
    <t>TABLE IV - HISTORICAL DATA, JUNE 30, 2005</t>
  </si>
  <si>
    <t>TABLE V - HOLDINGS OF TREASURY SECURITIES IN STRIPPED FORM, JUNE 30, 2005</t>
  </si>
  <si>
    <t>June 30, 2005</t>
  </si>
  <si>
    <t>June 30, 2004</t>
  </si>
  <si>
    <t>TABLE V - HOLDINGS OF TREASURY SECURITIES IN STRIPPED FORM, JUNE 30, 2005 -- Continued</t>
  </si>
  <si>
    <t>MONTHLY STATEMENT OF THE PUBLIC DEBT OF THE UNITED STATES JUNE 30, 2005 - FOOTNOTES</t>
  </si>
  <si>
    <t>May 2005</t>
  </si>
  <si>
    <t>Contributions, American Battle Monuments Commission..........................................................................................</t>
  </si>
  <si>
    <t>Highway Trust Fund.......................................................................................................................................................</t>
  </si>
  <si>
    <t>Prison Industries Fund, Department of Justice......................................................................................................................…</t>
  </si>
  <si>
    <t>Not Subject to the Statutory Debt Limit:</t>
  </si>
  <si>
    <t>National Service Life Insurance Fund, Department of Veterans Affairs..............................................................…</t>
  </si>
  <si>
    <t>National Service Trust, Corporation for National and Community Services.............................................................…</t>
  </si>
  <si>
    <t>By the Public</t>
  </si>
  <si>
    <t>National Gift Fund, National Archives and Records Administration...............................................................…</t>
  </si>
  <si>
    <t>Veterans Reopened Insurance Fund...........................................................................................................................</t>
  </si>
  <si>
    <t>Servicemen's Group Life Insurance Fund................................................................................................................................</t>
  </si>
  <si>
    <r>
      <t xml:space="preserve">MONTHLY STATEMENT OF </t>
    </r>
    <r>
      <rPr>
        <b/>
        <sz val="30"/>
        <rFont val="Colonna MT"/>
        <family val="0"/>
      </rPr>
      <t>THE</t>
    </r>
    <r>
      <rPr>
        <b/>
        <sz val="30"/>
        <color indexed="10"/>
        <rFont val="Colonna MT"/>
        <family val="0"/>
      </rPr>
      <t xml:space="preserve"> </t>
    </r>
    <r>
      <rPr>
        <b/>
        <sz val="30"/>
        <rFont val="Colonna MT"/>
        <family val="0"/>
      </rPr>
      <t>PUBLIC DEBT</t>
    </r>
  </si>
  <si>
    <t>Total Government Account Series - Intragovernmental Holdings.......................................................................................................................................................................................</t>
  </si>
  <si>
    <t>after, bonds presented for payment prior to age 59-1/2 years carry a penalty except in case of death or disability or upon "roll-over" to other authorized investments.</t>
  </si>
  <si>
    <t>United States Enrichment Corporation Fund......................................................................................................................................…</t>
  </si>
  <si>
    <t>11/30-05/31</t>
  </si>
  <si>
    <t>12/31-06/30</t>
  </si>
  <si>
    <t>08/15-02/15</t>
  </si>
  <si>
    <t>11/15-05/15</t>
  </si>
  <si>
    <t>10/15-04/15</t>
  </si>
  <si>
    <t>Social Security Equivalent Benefit Account, Railroad Retirement Board..........................................................................................…</t>
  </si>
  <si>
    <t>Sept. 30, 2003</t>
  </si>
  <si>
    <t>912827  V82</t>
  </si>
  <si>
    <t>912828  CM0</t>
  </si>
  <si>
    <t>................</t>
  </si>
  <si>
    <t>..............</t>
  </si>
  <si>
    <t>Vaccine Injury Compensation Trust Fund....................................................................................................................</t>
  </si>
  <si>
    <t xml:space="preserve">        This Month</t>
  </si>
  <si>
    <t>TRIBAL SPECIAL FUND, OFFICE OF THE SPECIAL TRUSTEE FOR AMERICAN INDIANS</t>
  </si>
  <si>
    <t>14X5265</t>
  </si>
  <si>
    <t>TRIBAL TRUST FUND, OFFICE OF THE SPECIAL TRUSTEE FOR AMERICAN INDIANS</t>
  </si>
  <si>
    <t>95X4331</t>
  </si>
  <si>
    <t xml:space="preserve">  (Various rates)..............................................</t>
  </si>
  <si>
    <t>Treasury Special Zero's - Notes..................</t>
  </si>
  <si>
    <t>Treasury Time Deposit - Bonds</t>
  </si>
  <si>
    <t>Total State and Local Government</t>
  </si>
  <si>
    <t xml:space="preserve">  Series..................................................................</t>
  </si>
  <si>
    <t>Trust Fund, The Barry Goldwater Scholarship and Excellence in Education Fund......................................................................................................................................................</t>
  </si>
  <si>
    <t>Total Not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</si>
  <si>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NATIONAL INSTITUTES OF HEALTH CONDITIONAL GIFT FUND</t>
  </si>
  <si>
    <t>75X8253</t>
  </si>
  <si>
    <t>NATIONAL INSTITUTES OF HEALTH UNCONDITIONAL GIFT FUND</t>
  </si>
  <si>
    <t>75X8248</t>
  </si>
  <si>
    <t>NATIONAL SECURITY EDUCATION TRUST FUND</t>
  </si>
  <si>
    <t>97X8168</t>
  </si>
  <si>
    <t>NATIONAL SERVICE LIFE INSURANCE FUND, DEPARTMENT OF VETERANS AFFAIRS</t>
  </si>
  <si>
    <t>36X8132</t>
  </si>
  <si>
    <t>MATURITIES:</t>
  </si>
  <si>
    <t>f</t>
  </si>
  <si>
    <t xml:space="preserve">   Accoun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</si>
  <si>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Z62</t>
  </si>
  <si>
    <t>Reconstituted</t>
  </si>
  <si>
    <t>912795  VF5</t>
  </si>
  <si>
    <t>912795  VG3</t>
  </si>
  <si>
    <t>912795  VH1</t>
  </si>
  <si>
    <t>912795  VJ7</t>
  </si>
  <si>
    <t>912795  VK4</t>
  </si>
  <si>
    <t>912795  VM0</t>
  </si>
  <si>
    <t>912795  VN8</t>
  </si>
  <si>
    <t>912828  BE9</t>
  </si>
  <si>
    <t>912828  BL3</t>
  </si>
  <si>
    <t>912828  BN9</t>
  </si>
  <si>
    <t>912828  BU3</t>
  </si>
  <si>
    <t>912828  BX7</t>
  </si>
  <si>
    <t>912828  CD0</t>
  </si>
  <si>
    <t>912828  CF5</t>
  </si>
  <si>
    <t>912828  CK4</t>
  </si>
  <si>
    <t>912828  BF6</t>
  </si>
  <si>
    <t>912828  CU2</t>
  </si>
  <si>
    <t>912828  CW8</t>
  </si>
  <si>
    <t>912828  DD9</t>
  </si>
  <si>
    <t>912828  DF4</t>
  </si>
  <si>
    <t>912828  DJ6</t>
  </si>
  <si>
    <t>912828  DN7</t>
  </si>
  <si>
    <t>912828  CG3</t>
  </si>
  <si>
    <t>912828  CR9</t>
  </si>
  <si>
    <t>912828  AN0</t>
  </si>
  <si>
    <t>912828  DK3</t>
  </si>
  <si>
    <t>912828  BG4</t>
  </si>
  <si>
    <t>912828  BK5</t>
  </si>
  <si>
    <t>912828  BM1</t>
  </si>
  <si>
    <t>912828  BT6</t>
  </si>
  <si>
    <t>912828  BV1</t>
  </si>
  <si>
    <t>912828  BZ2</t>
  </si>
  <si>
    <t>912828  CC2</t>
  </si>
  <si>
    <t>912828  CE8</t>
  </si>
  <si>
    <t>912828  CL2</t>
  </si>
  <si>
    <t>912828  CN8</t>
  </si>
  <si>
    <t>912828  CV0</t>
  </si>
  <si>
    <t>912828  CX6</t>
  </si>
  <si>
    <t>912828  DB3</t>
  </si>
  <si>
    <t>912828  DE7</t>
  </si>
  <si>
    <t>912828  DG2</t>
  </si>
  <si>
    <t>912828  AP5</t>
  </si>
  <si>
    <t>912828  AU4</t>
  </si>
  <si>
    <t>912828  BA7</t>
  </si>
  <si>
    <t>912828  BH2</t>
  </si>
  <si>
    <t>912828  BR0</t>
  </si>
  <si>
    <t>912828  CA6</t>
  </si>
  <si>
    <t>912828  CJ7</t>
  </si>
  <si>
    <t>RELIEF AND REHABILITIATION, WORKMEN'S COMPENSATION ACT, WITHIN THE DISTRICT OF COLUMBIA, DEPARTMENT OF LABO</t>
  </si>
  <si>
    <t>16X8134</t>
  </si>
  <si>
    <t>Employees' Life Insurance Fund, Office of Personnel Management.....................................................................</t>
  </si>
  <si>
    <t>Federal Old-Age and Survivors Insurance Trust Fund.................................................................................................…</t>
  </si>
  <si>
    <t>National Archives Trust Fund, National Archives and Records Administration...............................................................…</t>
  </si>
  <si>
    <t>02/15-08/15</t>
  </si>
  <si>
    <t>K</t>
  </si>
  <si>
    <t>L</t>
  </si>
  <si>
    <t>Sept. 30, 2001</t>
  </si>
  <si>
    <t>COMPILED AND PUBLISHED BY</t>
  </si>
  <si>
    <t>THE BUREAU OF THE PUBLIC DEBT</t>
  </si>
  <si>
    <t>Issue</t>
  </si>
  <si>
    <t>Interest</t>
  </si>
  <si>
    <t xml:space="preserve">    Trust Fund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…</t>
  </si>
  <si>
    <t>912827  3X8</t>
  </si>
  <si>
    <t>912828  AJ9</t>
  </si>
  <si>
    <t>912827  4F6</t>
  </si>
  <si>
    <t>DEPARTMENT OF THE AIR FORCE GENERAL GIFT FUND</t>
  </si>
  <si>
    <t>57X8928</t>
  </si>
  <si>
    <t>DEPARTMENT OF THE ARMY GENERAL GIFT FUND</t>
  </si>
  <si>
    <t>21X8927</t>
  </si>
  <si>
    <t>DEPARTMENT OF THE NAVY GENERAL GIFT FUND</t>
  </si>
  <si>
    <t>17X8716</t>
  </si>
  <si>
    <t>20X8212</t>
  </si>
  <si>
    <t>RUSSIAN LEADERSHIP DEVELOPMENT TRUST FUND</t>
  </si>
  <si>
    <t>14X8030</t>
  </si>
  <si>
    <t>Panama Canal Commission Compensation Fund......................................................................................................</t>
  </si>
  <si>
    <t>.............</t>
  </si>
  <si>
    <t>Treasury Notes:</t>
  </si>
  <si>
    <t>Series:</t>
  </si>
  <si>
    <t>Interest Rate:</t>
  </si>
  <si>
    <t>V</t>
  </si>
  <si>
    <t>06/30-12/31</t>
  </si>
  <si>
    <t>E</t>
  </si>
  <si>
    <t>01/15-07/15</t>
  </si>
  <si>
    <t>J</t>
  </si>
  <si>
    <t>01/31-07/31</t>
  </si>
  <si>
    <t>A</t>
  </si>
  <si>
    <t>Judicial Officers Retirement Fund...............................................................................................................................</t>
  </si>
  <si>
    <t>Effective May 1, 1987, securities held in stripped form were eligible for reconstitution to their unstripped form.</t>
  </si>
  <si>
    <t>Iranian Claims Settlement Fund, Treasury Department....................................................................................................................................</t>
  </si>
  <si>
    <t>Federal Aid to Wildlife Restoration, United States Fish and Wildlife Service.......................................................</t>
  </si>
  <si>
    <t>Federal Disability Insurance Trust Fund.........................................................................................................................</t>
  </si>
  <si>
    <t>Total Matured United States Savings Securities..................................................…</t>
  </si>
  <si>
    <t>Escrow Account, National Labor Relations Board..........................................................................................................…</t>
  </si>
  <si>
    <t>912827  2M3</t>
  </si>
  <si>
    <t>912828  AF7</t>
  </si>
  <si>
    <t>South Dakota Terrestrial Wildlife Habitat Restoration Trust Fund.......................................................................................................................................................................................……….</t>
  </si>
  <si>
    <t xml:space="preserve">    General Hospital.................................................................................................................................................................…</t>
  </si>
  <si>
    <t>Department of the Army General Gift Fund......................................................................................................................</t>
  </si>
  <si>
    <t>Department of the Navy General Gift Fund................................................................................................................</t>
  </si>
  <si>
    <t>District of Columbia Judges Retirement Fund.............................................................................................................................................</t>
  </si>
  <si>
    <t>Total Public Debt Outstanding...............................................................................................................................................……………</t>
  </si>
  <si>
    <t>GIFTS TO REDUCE DEBT HELD BY THE PUBLIC:</t>
  </si>
  <si>
    <t xml:space="preserve">  Unclassified................................................</t>
  </si>
  <si>
    <t xml:space="preserve"> Series H..............................................................</t>
  </si>
  <si>
    <t>FHA - Liquidating Account, Housing and Urban Development.......................................................................................................................................................…</t>
  </si>
  <si>
    <t>Total Public Debt Outstanding......................................................................…</t>
  </si>
  <si>
    <t>Treasury Inflation-Protected Securities..................................................................................…</t>
  </si>
  <si>
    <t>Total Treasury Notes................................................................</t>
  </si>
  <si>
    <t>Total Treasury Bonds....................................................................</t>
  </si>
  <si>
    <t>John C. Stennis Center for Public Service Training and Development.................................................................</t>
  </si>
  <si>
    <t>R.E.A. Series..................................................................................…</t>
  </si>
  <si>
    <t>State and Local Government Series..................................................................................…</t>
  </si>
  <si>
    <t>Assets Forfeiture Fund, Justice......................................................................................................................................</t>
  </si>
  <si>
    <t>OIL SPILL LIABILITY TRUST FUND</t>
  </si>
  <si>
    <t>SENATE PRESERVATION TRUST FUND</t>
  </si>
  <si>
    <t>United States Savings Securities..................................................................................…</t>
  </si>
  <si>
    <t>NATIONAL SERVICE TRUST, CORPORATION FOR NATIONAL AND COMMUNITY SERVICES</t>
  </si>
  <si>
    <t>95X8267</t>
  </si>
  <si>
    <t>Capitol Preservation Fund, U.S. Capitol Preservation Commission.....................................................................</t>
  </si>
  <si>
    <t xml:space="preserve">   Columbia, Department of Labor.............................................................................................................................................................................................................................……….</t>
  </si>
  <si>
    <t>Armed Forces Retirement Home Trust Fund.................................................................................................................................…</t>
  </si>
  <si>
    <t>Civil Service Retirement and Disability Fund, Office of Personnel Management...........................................................................................................................................................</t>
  </si>
  <si>
    <t>Aquatic Resources Trust Fund.....................................................................................................................................</t>
  </si>
  <si>
    <t>Albanian Claims Fund, Treasury Department.......................................................................................................................</t>
  </si>
  <si>
    <t>Sept. 30, 2002</t>
  </si>
  <si>
    <t>URANIUM ENRICHMENT AND DECOMMISSIONING FUND, DEPARTMENT OF ENERGY</t>
  </si>
  <si>
    <t>89X5231</t>
  </si>
  <si>
    <t>UTAH RECLAMATION MITIGATION AND CONSERVATION ACCOUNT, INTERIOR</t>
  </si>
  <si>
    <t>14X5174</t>
  </si>
  <si>
    <t>VACCINE INJURY COMPENSATION TRUST FUND</t>
  </si>
  <si>
    <t>20X8175</t>
  </si>
  <si>
    <t>VETERANS REOPENED INSURANCE FUND</t>
  </si>
  <si>
    <t>36X4010</t>
  </si>
  <si>
    <t>Othe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</si>
  <si>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DEFENSE COOPERATION ACCOUNT, DEFENSE</t>
  </si>
  <si>
    <t>97X5187</t>
  </si>
  <si>
    <t>NATIONAL ARCHIVES TRUST FUND, NATIONAL ARCHIVES AND RECORDS ADMINISTRATION</t>
  </si>
  <si>
    <t>88X8436</t>
  </si>
  <si>
    <t>National Law Enforcement Officers Memorial Maintenance Fund...............................................................................................…</t>
  </si>
  <si>
    <t>Available on the fourth business day of each month.</t>
  </si>
  <si>
    <t>UNITED STATES GOVERNMENT LIFE INSURANCE FUND, DEPARTMENT OF VETERANS AFFAIRS</t>
  </si>
  <si>
    <t>36X8150</t>
  </si>
  <si>
    <t>UNITED STATES NAVAL ACADEMY GENERAL GIFT FUND</t>
  </si>
  <si>
    <t>17X8733</t>
  </si>
  <si>
    <t>UNITED STATES TRUSTEE SYSTEM FUND, JUSTICE</t>
  </si>
  <si>
    <t>15X5073</t>
  </si>
  <si>
    <t>Belize Escrow, Debt Reduction, Treasury.........................................................................................................................…</t>
  </si>
  <si>
    <t>DC FEDERAL PENSION FUND</t>
  </si>
  <si>
    <t>20X5511</t>
  </si>
  <si>
    <t>912820  GZ4</t>
  </si>
  <si>
    <t>912820  KD8</t>
  </si>
  <si>
    <t>912820  CA3</t>
  </si>
  <si>
    <t>912820  HE0</t>
  </si>
  <si>
    <t>912820  KN6</t>
  </si>
  <si>
    <t>912820  HK6</t>
  </si>
  <si>
    <t>912820  CQ8</t>
  </si>
  <si>
    <t>912820  HQ3</t>
  </si>
  <si>
    <t>912820  LG0</t>
  </si>
  <si>
    <t>912820  CY1</t>
  </si>
  <si>
    <t>912820  HW0</t>
  </si>
  <si>
    <t>912820  JW8</t>
  </si>
  <si>
    <t>912820  JZ1</t>
  </si>
  <si>
    <t>912820  KB2</t>
  </si>
  <si>
    <t>912820  DV6</t>
  </si>
  <si>
    <t>912820  KE6</t>
  </si>
  <si>
    <t>912820  KH9</t>
  </si>
  <si>
    <t>912820  JD0</t>
  </si>
  <si>
    <t>912820  JG3</t>
  </si>
  <si>
    <t>912820  JJ7</t>
  </si>
  <si>
    <t>912820  DK0</t>
  </si>
  <si>
    <t>912820  JM0</t>
  </si>
  <si>
    <t xml:space="preserve">Excludes $200 million Silver Certificates issued after June 30, 1929, determined pursuant to Act of June 24, 1967, to have been destroyed or irretrievably lost.          </t>
  </si>
  <si>
    <t>GENERAL:</t>
  </si>
  <si>
    <t>The outstanding balances in this statement are based upon daily cash activity reports from Federal Reserve Banks and Bureau Offices and are subject to</t>
  </si>
  <si>
    <t>912828  BJ8</t>
  </si>
  <si>
    <t>02/29-08/31</t>
  </si>
  <si>
    <t>Senate Preservation Trust Fund.........................................................................................................................</t>
  </si>
  <si>
    <t>The bonds are issued at par and semiannual interest is added to principal.  Redeemable without interest during the first twelve months after issue date.  There-</t>
  </si>
  <si>
    <t>Marketable, Treasury Notes--Continued:</t>
  </si>
  <si>
    <t>912827  U83</t>
  </si>
  <si>
    <t>Airport and Airway Trust Fund......................................................................................................................................</t>
  </si>
  <si>
    <t>Marketable, Treasury Bonds:</t>
  </si>
  <si>
    <t>Total Domestic Series....................................................</t>
  </si>
  <si>
    <t>Foreign Series:</t>
  </si>
  <si>
    <t>d</t>
  </si>
  <si>
    <t>Total Foreign Series....................................................</t>
  </si>
  <si>
    <t>R.E.A. Series:</t>
  </si>
  <si>
    <t>5% Treasury Certificates of</t>
  </si>
  <si>
    <t xml:space="preserve">  Indebtedness................................................................................</t>
  </si>
  <si>
    <t>Semiannually</t>
  </si>
  <si>
    <t>Total R.E.A. Series....................................................</t>
  </si>
  <si>
    <t>Total Unmatured United States Savings Securities....................................................</t>
  </si>
  <si>
    <t>Total Public Debt Subject to Limit..................................................................................…</t>
  </si>
  <si>
    <t xml:space="preserve">Deposits of Proceeds of Lands Withdrawn for Native Selection, </t>
  </si>
  <si>
    <t>Maritime Guaranteed Loan Escrow Fund................................................................................................................................................................…</t>
  </si>
  <si>
    <t>RETIRED EMPLOYEES' HEALTH BENEFITS FUND, OFFICE OF PERSONNEL MANAGEMENT</t>
  </si>
  <si>
    <t>24X8445</t>
  </si>
  <si>
    <t>REVOLVING FUND FOR ADMINISTRATIVE EXPENSE, FARM CREDIT ADMINISTRATION</t>
  </si>
  <si>
    <t>78X4131</t>
  </si>
  <si>
    <t>09X8148</t>
  </si>
  <si>
    <t>OPERATING FUND, NATIONAL CREDIT UNION ADMINISTRATION</t>
  </si>
  <si>
    <t>25X4056</t>
  </si>
  <si>
    <t>Treasury Inflation-Protected Securities:</t>
  </si>
  <si>
    <t>Total Treasury Inflation-Protected Securities...............................................................................…</t>
  </si>
  <si>
    <t>Total Marketable...........................................................................................................................................…</t>
  </si>
  <si>
    <t xml:space="preserve">  Veterans Affair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</si>
  <si>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2U5</t>
  </si>
  <si>
    <t>MARITIME GUARANTEED LOAN ESCROW FUND</t>
  </si>
  <si>
    <t>69X6040</t>
  </si>
  <si>
    <t>United States Naval Academy General Gift Fund......................................................................................................</t>
  </si>
  <si>
    <t>Israeli Arab Scholarship Program, United States Information Agency.............................................................….</t>
  </si>
  <si>
    <t xml:space="preserve">     Office of Personnel Management.................................................................................................................................................................…</t>
  </si>
  <si>
    <t>Mortgage Guaranty Insurance Company Tax and Loss Bond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</si>
  <si>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912828  BP4</t>
  </si>
  <si>
    <t>Total Subject to the Statutory Debt Limit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</si>
  <si>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Treasury Deposit Funds.................................................................................................................................................................…</t>
  </si>
  <si>
    <t>10/31-04/30</t>
  </si>
  <si>
    <t>09/30-03/31</t>
  </si>
  <si>
    <t>EXCHANGE STABILIZATION FUND, OFFICE OF THE SECRETARY, TREASURY</t>
  </si>
  <si>
    <t>20X44441</t>
  </si>
  <si>
    <t>EXPENSES, PRESIDIO TRUST</t>
  </si>
  <si>
    <t>Morris K. Udall Scholarship and Excellence in National Environmental</t>
  </si>
  <si>
    <t>Natural Resource Damage Assessment and Restoration Fund, U.S. Fish</t>
  </si>
  <si>
    <t>United States Savings Stamps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</si>
  <si>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Seized Assets Fund, Justice.............................................................................................................................................................................................................…</t>
  </si>
  <si>
    <t>Science, Space and Technology Education Trust Fund, National Aeronautics</t>
  </si>
  <si>
    <t>FEDERAL OLD-AGE AND SURVIVORS INSURANCE TRUST FUND</t>
  </si>
  <si>
    <t>20X8006</t>
  </si>
  <si>
    <t>FEDERAL SUPPLEMENTARY MEDICAL INSURANCE TRUST FUND</t>
  </si>
  <si>
    <t>20X8004</t>
  </si>
  <si>
    <t>FOREIGN SERVICE RETIREMENT AND DISABILITY FUND</t>
  </si>
  <si>
    <t>19X8186</t>
  </si>
  <si>
    <t>FSLIC RESOLUTION FUND, THE</t>
  </si>
  <si>
    <t>51X4065</t>
  </si>
  <si>
    <t>912800  AA7</t>
  </si>
  <si>
    <t>912803  AA1</t>
  </si>
  <si>
    <t>Inland Waterways Trust Fund.......................................................................................................................................................................................................................................................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</si>
  <si>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Department of Energy.................................................................................................................................................................…</t>
  </si>
  <si>
    <t>Smithsonian Endowment Fund, Smithsonian Institution...............................................................................…</t>
  </si>
  <si>
    <t>03/31-09/30</t>
  </si>
  <si>
    <t>F</t>
  </si>
  <si>
    <t>04/15-10/15</t>
  </si>
  <si>
    <t>M</t>
  </si>
  <si>
    <t>04/30-10/31</t>
  </si>
  <si>
    <t>B</t>
  </si>
  <si>
    <t>05/15-11/15</t>
  </si>
  <si>
    <t>N</t>
  </si>
  <si>
    <t>05/31-11/30</t>
  </si>
  <si>
    <t>P</t>
  </si>
  <si>
    <t>G</t>
  </si>
  <si>
    <t>Q</t>
  </si>
  <si>
    <t>C</t>
  </si>
  <si>
    <t>R</t>
  </si>
  <si>
    <t>S</t>
  </si>
  <si>
    <t>H</t>
  </si>
  <si>
    <t>T</t>
  </si>
  <si>
    <t>D</t>
  </si>
  <si>
    <t>10</t>
  </si>
  <si>
    <t>W</t>
  </si>
  <si>
    <t>20X6314</t>
  </si>
  <si>
    <t>GIFTS AND BEQUESTS, OFFICE OF THE SECRETARY, DEPARTMENT OF TRANSPORTATION</t>
  </si>
  <si>
    <t>69X8548</t>
  </si>
  <si>
    <t>Tax Court Judges Survivors Annuity Fund.............................................................................................................................</t>
  </si>
  <si>
    <t>912828  CH1</t>
  </si>
  <si>
    <t>912827  5N8</t>
  </si>
  <si>
    <t>CDR-E ACCOUNT, U.S. ATTORNEYS, JUSTICE</t>
  </si>
  <si>
    <t>15X6119</t>
  </si>
  <si>
    <t>EXPENSES AND REFUNDS, INSPECTION AND GRADING OF FARM PRODUCTS, AGRICULTURAL MARKETING SERVICE</t>
  </si>
  <si>
    <t>12X8015</t>
  </si>
  <si>
    <t>MARKETING SERVICES, AGRICULTURAL MARKETING SERVICE</t>
  </si>
  <si>
    <t>12X2500</t>
  </si>
  <si>
    <t>PERISHABLE AGRICULTURAL COMMODITIES ACT, AGRICULTURAL MARKETING SERVICE</t>
  </si>
  <si>
    <t>12X5070</t>
  </si>
  <si>
    <t>Expenses and Refunds, Inspection and Grading of Farm Products,</t>
  </si>
  <si>
    <t xml:space="preserve">    Agricultural Marketing Service…………………………………………………………………………………</t>
  </si>
  <si>
    <t>Marketing Services, Agricultural Marketing Service…………………………………………………..</t>
  </si>
  <si>
    <t>Perishable Agricultural Commodities Act, Agricultural Marketing Service………………………….</t>
  </si>
  <si>
    <t xml:space="preserve">   Friendship Commission..................................................................................................................................................................................................................................................</t>
  </si>
  <si>
    <t>Land Between the Lakes Trust Fund..................................................................................................................</t>
  </si>
  <si>
    <t>Lincoln County Land Act................................................................................................................................................................................................................................................................................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</si>
  <si>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912827  W81</t>
  </si>
  <si>
    <t>912828  BS8</t>
  </si>
  <si>
    <t>06/15-12/15</t>
  </si>
  <si>
    <t>Assessment Funds, Office of the Comptroller of the Currency...........................................................………….......................</t>
  </si>
  <si>
    <t>OLIVER WENDELL HOMES DEVISE FUND, LIBRARY OF CONGRESS</t>
  </si>
  <si>
    <t>03X5075</t>
  </si>
  <si>
    <t>of the discount accruing in the taxable year.</t>
  </si>
  <si>
    <r>
      <t xml:space="preserve">Federal Financing Bank  </t>
    </r>
    <r>
      <rPr>
        <vertAlign val="superscript"/>
        <sz val="14"/>
        <rFont val="Arial"/>
        <family val="2"/>
      </rPr>
      <t>1</t>
    </r>
    <r>
      <rPr>
        <sz val="14"/>
        <rFont val="Arial"/>
        <family val="2"/>
      </rPr>
      <t xml:space="preserve">  .....................................................................................</t>
    </r>
  </si>
  <si>
    <r>
      <t xml:space="preserve">Federal Financing Bank  </t>
    </r>
    <r>
      <rPr>
        <vertAlign val="superscript"/>
        <sz val="14"/>
        <rFont val="Arial"/>
        <family val="2"/>
      </rPr>
      <t xml:space="preserve">1  </t>
    </r>
    <r>
      <rPr>
        <sz val="14"/>
        <rFont val="Arial"/>
        <family val="2"/>
      </rPr>
      <t xml:space="preserve">   .....................................................................................</t>
    </r>
  </si>
  <si>
    <t xml:space="preserve">   Administration...........................................................................................................................................................................................................................................................……….</t>
  </si>
  <si>
    <t>WAR-RISK INSURANCE REVOLVING FUND, MARITIME ADMINISTRATION</t>
  </si>
  <si>
    <t>69X4302</t>
  </si>
  <si>
    <t>50X65630023</t>
  </si>
  <si>
    <t>FEDERAL HOUSING ADMINISTRATION - FLEXIBLE SUBSIDY FUND, HOUSING PROGRAMS, HOUSING AND URBAN DEVELOPMENT</t>
  </si>
  <si>
    <t>86X4044</t>
  </si>
  <si>
    <t>FEDERAL HOUSING ADMINISTRATION - HOMEOWNER ASSISTANCE FUND, HOUSING PROGRAMS, HOUSING AND URBAN DEVELOPMENT</t>
  </si>
  <si>
    <t>86X4043</t>
  </si>
  <si>
    <t>PAJARITO PLATEAU HOMESTEADERS COMPENSATION FUND</t>
  </si>
  <si>
    <t>89X5520</t>
  </si>
  <si>
    <t>Disgorgement Penalty Amounts Held for Investment...............................................................................…</t>
  </si>
  <si>
    <t xml:space="preserve">FHA - Flexible Subsidy Fund, Housing Programs, Housing and </t>
  </si>
  <si>
    <t xml:space="preserve">   Urban Development............................................................................................................................................................…</t>
  </si>
  <si>
    <t xml:space="preserve">FHA - Homeowner Assistance Fund, Housing Programs, Housing and </t>
  </si>
  <si>
    <t>Pajarito Plateau Homesteaders Compensation Fund......................................................................................................</t>
  </si>
  <si>
    <t xml:space="preserve">   Policy Trust Fund...............................................................................................................................................................................................................................................................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</si>
  <si>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  Mortgage Association, Housing and Urban Development......................................................................................................................................................................................................</t>
  </si>
  <si>
    <t xml:space="preserve">   Scholarship Foundation..................................................................................................................................................................................................................................................</t>
  </si>
  <si>
    <t>REREGISTRATION AND EXPEDITED PROCESSING FUND, ENVIRONMENTAL PROTECTION AGE</t>
  </si>
  <si>
    <t>68X4310</t>
  </si>
  <si>
    <t>INDIVIDUAL INDIAN MONEY, BUREAU OF INDIAN AFFAIRS</t>
  </si>
  <si>
    <t>14X6039</t>
  </si>
  <si>
    <t>KUUKPIK ALASKA ESCROW FUND</t>
  </si>
  <si>
    <t>14X6029</t>
  </si>
  <si>
    <t>German Democratic Republic Settlement Fund.........................................................................................................</t>
  </si>
  <si>
    <t>Payments to Copyright Owners, Copyright Office, Library of Congress................................................................</t>
  </si>
  <si>
    <t>basis (360 days a year) as indicated.  Effective November 10, 1997,  three decimal bidding, in .005 percent increments, is required for regular Treasury Bill</t>
  </si>
  <si>
    <t>Pension Benefit Guaranty Corporation..........................................................................................................................</t>
  </si>
  <si>
    <t>Conditional Gift Fund, General, Department of State..........................................................................................................................................…</t>
  </si>
  <si>
    <t>Unconditional Gift Fund, Department of State.............................................................................................................................................</t>
  </si>
  <si>
    <t>Federal Hospital Insurance Trust Fund.......................................................................................................................</t>
  </si>
  <si>
    <t xml:space="preserve">FHA - General and Special Risk Insurance Fund, Liquidating Account, </t>
  </si>
  <si>
    <t>Harry S. Truman Memorial Scholarship Trust Fund, Harry S. Truman</t>
  </si>
  <si>
    <t>Total Other Debt................................................................................................................................................................................................................................................</t>
  </si>
  <si>
    <t>Debt Held by the Public.....................................................................................................................…</t>
  </si>
  <si>
    <t>TAX COURT JUDGES SURVIVORS ANNUITY FUND</t>
  </si>
  <si>
    <t>23X8115</t>
  </si>
  <si>
    <t>TREASURY FORFEITURE FUND</t>
  </si>
  <si>
    <t>20X5697</t>
  </si>
  <si>
    <t>General Post Fund, National Homes, Department of Veterans Affairs....................................................................................................................………</t>
  </si>
  <si>
    <t>Gifts and Donations, National Endowment of the Arts..................................................................................................................</t>
  </si>
  <si>
    <t>BEQUESTS OF MAJOR GENERAL FRED C. AINSWORTH, LIBRARY, WALTER REED GENERAL HOSPITAL</t>
  </si>
  <si>
    <t>21X8063</t>
  </si>
  <si>
    <t>Botanic Gardens, Gifts and Donations.........................................................................................................................…</t>
  </si>
  <si>
    <t>Host Nation Support for U.S. Relocation Activities Account.......................................................................................................................................................................................................................................................</t>
  </si>
  <si>
    <t>912828  CT5</t>
  </si>
  <si>
    <t>912828  DC1</t>
  </si>
  <si>
    <t>912828  DM9</t>
  </si>
  <si>
    <t>912827  6T4</t>
  </si>
  <si>
    <t>912827  7B2</t>
  </si>
  <si>
    <t>912827  7L0</t>
  </si>
  <si>
    <t>912827  6X5</t>
  </si>
  <si>
    <t>912827  6N7</t>
  </si>
  <si>
    <t>912810  DR6</t>
  </si>
  <si>
    <t>912810  CS5</t>
  </si>
  <si>
    <t>912810  DU9</t>
  </si>
  <si>
    <t>912810  CV8</t>
  </si>
  <si>
    <t>912810  CY2</t>
  </si>
  <si>
    <t>912810  DB1</t>
  </si>
  <si>
    <t>912810  DF2</t>
  </si>
  <si>
    <t>912810  DJ4</t>
  </si>
  <si>
    <t>912810  DL9</t>
  </si>
  <si>
    <t>912810  DN5</t>
  </si>
  <si>
    <t>912810  DP0</t>
  </si>
  <si>
    <t>912810  DS4</t>
  </si>
  <si>
    <t>912810  DT2</t>
  </si>
  <si>
    <t>912810  DV7</t>
  </si>
  <si>
    <t>912810  DW5</t>
  </si>
  <si>
    <t>912810  DX3</t>
  </si>
  <si>
    <t>912810  DY1</t>
  </si>
  <si>
    <t>912810  DZ8</t>
  </si>
  <si>
    <t>912810  EA2</t>
  </si>
  <si>
    <t>912810  EB0</t>
  </si>
  <si>
    <t>912810  EC8</t>
  </si>
  <si>
    <t>912810  ED6</t>
  </si>
  <si>
    <t>912810  EE4</t>
  </si>
  <si>
    <t>912810  EF1</t>
  </si>
  <si>
    <t>912810  EG9</t>
  </si>
  <si>
    <t>912810  EH7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</si>
</sst>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  <numFmt numFmtId="190" formatCode="#,##0.00000_);\(#,##0.00000\)"/>
    <numFmt numFmtId="191" formatCode="#,##0.0000000000_);\(#,##0.0000000000\)"/>
    <numFmt numFmtId="192" formatCode="0.00;[Red]0.00"/>
    <numFmt numFmtId="193" formatCode="&quot;$&quot;#,##0.00"/>
    <numFmt numFmtId="194" formatCode="0.000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8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vertAlign val="superscript"/>
      <sz val="12"/>
      <name val="Arial"/>
      <family val="2"/>
    </font>
    <font>
      <sz val="9"/>
      <name val="Arial"/>
      <family val="0"/>
    </font>
    <font>
      <b/>
      <sz val="30"/>
      <name val="Colonna MT"/>
      <family val="5"/>
    </font>
    <font>
      <b/>
      <sz val="27"/>
      <name val="Colonna MT"/>
      <family val="5"/>
    </font>
    <font>
      <b/>
      <sz val="17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vertAlign val="superscript"/>
      <sz val="13"/>
      <name val="Arial"/>
      <family val="2"/>
    </font>
    <font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u val="single"/>
      <sz val="22"/>
      <name val="Arial"/>
      <family val="2"/>
    </font>
    <font>
      <sz val="16"/>
      <name val="Arial"/>
      <family val="2"/>
    </font>
    <font>
      <sz val="15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name val="Arial"/>
      <family val="2"/>
    </font>
    <font>
      <b/>
      <sz val="30"/>
      <color indexed="10"/>
      <name val="Colonna MT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44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centerContinuous"/>
    </xf>
    <xf numFmtId="0" fontId="4" fillId="0" borderId="0" xfId="0" applyFont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37" fontId="0" fillId="0" borderId="7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37" fontId="0" fillId="0" borderId="0" xfId="0" applyNumberFormat="1" applyAlignment="1" applyProtection="1">
      <alignment horizontal="centerContinuous"/>
      <protection/>
    </xf>
    <xf numFmtId="37" fontId="0" fillId="0" borderId="5" xfId="0" applyNumberFormat="1" applyBorder="1" applyAlignment="1" applyProtection="1">
      <alignment/>
      <protection/>
    </xf>
    <xf numFmtId="166" fontId="0" fillId="0" borderId="0" xfId="0" applyNumberFormat="1" applyAlignment="1" applyProtection="1">
      <alignment horizontal="centerContinuous"/>
      <protection/>
    </xf>
    <xf numFmtId="166" fontId="0" fillId="0" borderId="0" xfId="0" applyNumberFormat="1" applyAlignment="1" applyProtection="1">
      <alignment/>
      <protection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/>
    </xf>
    <xf numFmtId="166" fontId="0" fillId="0" borderId="5" xfId="0" applyNumberFormat="1" applyBorder="1" applyAlignment="1" applyProtection="1">
      <alignment/>
      <protection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66" fontId="10" fillId="0" borderId="0" xfId="0" applyNumberFormat="1" applyFon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 horizontal="left"/>
      <protection/>
    </xf>
    <xf numFmtId="166" fontId="10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 horizontal="right"/>
    </xf>
    <xf numFmtId="10" fontId="0" fillId="0" borderId="0" xfId="0" applyNumberFormat="1" applyAlignment="1" applyProtection="1">
      <alignment/>
      <protection/>
    </xf>
    <xf numFmtId="166" fontId="0" fillId="0" borderId="4" xfId="0" applyNumberFormat="1" applyBorder="1" applyAlignment="1" applyProtection="1">
      <alignment/>
      <protection/>
    </xf>
    <xf numFmtId="166" fontId="0" fillId="0" borderId="4" xfId="0" applyNumberFormat="1" applyBorder="1" applyAlignment="1" applyProtection="1">
      <alignment horizontal="centerContinuous"/>
      <protection/>
    </xf>
    <xf numFmtId="37" fontId="0" fillId="0" borderId="4" xfId="0" applyNumberFormat="1" applyBorder="1" applyAlignment="1" applyProtection="1">
      <alignment horizontal="centerContinuous"/>
      <protection/>
    </xf>
    <xf numFmtId="0" fontId="0" fillId="0" borderId="0" xfId="0" applyAlignment="1">
      <alignment horizontal="center"/>
    </xf>
    <xf numFmtId="37" fontId="0" fillId="0" borderId="4" xfId="0" applyNumberFormat="1" applyBorder="1" applyAlignment="1" applyProtection="1">
      <alignment horizontal="right"/>
      <protection/>
    </xf>
    <xf numFmtId="166" fontId="0" fillId="0" borderId="4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37" fontId="0" fillId="0" borderId="9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 horizontal="right"/>
    </xf>
    <xf numFmtId="37" fontId="0" fillId="0" borderId="15" xfId="0" applyNumberFormat="1" applyBorder="1" applyAlignment="1" applyProtection="1">
      <alignment/>
      <protection/>
    </xf>
    <xf numFmtId="0" fontId="0" fillId="0" borderId="16" xfId="0" applyBorder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37" fontId="0" fillId="0" borderId="17" xfId="0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Alignment="1">
      <alignment horizontal="centerContinuous"/>
    </xf>
    <xf numFmtId="0" fontId="0" fillId="0" borderId="0" xfId="0" applyAlignment="1" quotePrefix="1">
      <alignment horizontal="center"/>
    </xf>
    <xf numFmtId="166" fontId="0" fillId="0" borderId="4" xfId="0" applyNumberFormat="1" applyBorder="1" applyAlignment="1" applyProtection="1" quotePrefix="1">
      <alignment horizontal="centerContinuous"/>
      <protection/>
    </xf>
    <xf numFmtId="166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Continuous"/>
    </xf>
    <xf numFmtId="37" fontId="0" fillId="0" borderId="12" xfId="0" applyNumberFormat="1" applyBorder="1" applyAlignment="1" applyProtection="1">
      <alignment/>
      <protection/>
    </xf>
    <xf numFmtId="0" fontId="0" fillId="0" borderId="0" xfId="0" applyBorder="1" applyAlignment="1">
      <alignment horizontal="centerContinuous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/>
    </xf>
    <xf numFmtId="37" fontId="0" fillId="0" borderId="18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166" fontId="0" fillId="0" borderId="4" xfId="0" applyNumberFormat="1" applyBorder="1" applyAlignment="1" applyProtection="1" quotePrefix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centerContinuous"/>
      <protection/>
    </xf>
    <xf numFmtId="0" fontId="0" fillId="0" borderId="18" xfId="0" applyFont="1" applyBorder="1" applyAlignment="1">
      <alignment/>
    </xf>
    <xf numFmtId="37" fontId="9" fillId="0" borderId="19" xfId="0" applyNumberFormat="1" applyFon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0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 applyProtection="1">
      <alignment horizontal="centerContinuous"/>
      <protection/>
    </xf>
    <xf numFmtId="0" fontId="9" fillId="0" borderId="0" xfId="0" applyFont="1" applyBorder="1" applyAlignment="1">
      <alignment horizontal="center"/>
    </xf>
    <xf numFmtId="37" fontId="9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0" borderId="16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9" fillId="0" borderId="18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166" fontId="0" fillId="0" borderId="4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37" fontId="9" fillId="0" borderId="11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/>
      <protection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 horizontal="left"/>
    </xf>
    <xf numFmtId="166" fontId="0" fillId="0" borderId="4" xfId="0" applyNumberFormat="1" applyBorder="1" applyAlignment="1" applyProtection="1">
      <alignment/>
      <protection/>
    </xf>
    <xf numFmtId="166" fontId="0" fillId="0" borderId="4" xfId="0" applyNumberFormat="1" applyBorder="1" applyAlignment="1" applyProtection="1" quotePrefix="1">
      <alignment/>
      <protection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49" fontId="0" fillId="0" borderId="14" xfId="0" applyNumberFormat="1" applyFont="1" applyBorder="1" applyAlignment="1">
      <alignment horizontal="centerContinuous"/>
    </xf>
    <xf numFmtId="7" fontId="0" fillId="0" borderId="21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9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169" fontId="18" fillId="0" borderId="0" xfId="0" applyNumberFormat="1" applyFont="1" applyAlignment="1" applyProtection="1">
      <alignment horizontal="left" vertical="center"/>
      <protection/>
    </xf>
    <xf numFmtId="0" fontId="0" fillId="0" borderId="4" xfId="0" applyBorder="1" applyAlignment="1">
      <alignment horizontal="right"/>
    </xf>
    <xf numFmtId="0" fontId="0" fillId="0" borderId="22" xfId="0" applyBorder="1" applyAlignment="1">
      <alignment horizontal="centerContinuous"/>
    </xf>
    <xf numFmtId="37" fontId="0" fillId="0" borderId="6" xfId="0" applyNumberFormat="1" applyBorder="1" applyAlignment="1" applyProtection="1">
      <alignment horizontal="centerContinuous"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 horizontal="right"/>
      <protection/>
    </xf>
    <xf numFmtId="0" fontId="18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right"/>
    </xf>
    <xf numFmtId="166" fontId="9" fillId="0" borderId="18" xfId="0" applyNumberFormat="1" applyFont="1" applyBorder="1" applyAlignment="1" applyProtection="1">
      <alignment horizontal="centerContinuous"/>
      <protection/>
    </xf>
    <xf numFmtId="0" fontId="8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"/>
    </xf>
    <xf numFmtId="37" fontId="9" fillId="0" borderId="18" xfId="0" applyNumberFormat="1" applyFont="1" applyBorder="1" applyAlignment="1" applyProtection="1">
      <alignment/>
      <protection/>
    </xf>
    <xf numFmtId="37" fontId="6" fillId="0" borderId="18" xfId="0" applyNumberFormat="1" applyFont="1" applyBorder="1" applyAlignment="1" applyProtection="1">
      <alignment/>
      <protection/>
    </xf>
    <xf numFmtId="37" fontId="0" fillId="0" borderId="15" xfId="0" applyNumberFormat="1" applyBorder="1" applyAlignment="1" applyProtection="1">
      <alignment horizontal="right"/>
      <protection/>
    </xf>
    <xf numFmtId="0" fontId="0" fillId="0" borderId="16" xfId="0" applyBorder="1" applyAlignment="1">
      <alignment horizontal="right"/>
    </xf>
    <xf numFmtId="37" fontId="0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6" fillId="0" borderId="18" xfId="0" applyFont="1" applyBorder="1" applyAlignment="1">
      <alignment/>
    </xf>
    <xf numFmtId="37" fontId="0" fillId="0" borderId="0" xfId="0" applyNumberFormat="1" applyAlignment="1" applyProtection="1">
      <alignment horizontal="right"/>
      <protection/>
    </xf>
    <xf numFmtId="166" fontId="0" fillId="0" borderId="0" xfId="0" applyNumberFormat="1" applyBorder="1" applyAlignment="1" applyProtection="1">
      <alignment horizontal="centerContinuous"/>
      <protection/>
    </xf>
    <xf numFmtId="0" fontId="0" fillId="0" borderId="6" xfId="0" applyBorder="1" applyAlignment="1">
      <alignment horizontal="right"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180" fontId="0" fillId="0" borderId="6" xfId="15" applyNumberFormat="1" applyBorder="1" applyAlignment="1">
      <alignment horizontal="right"/>
    </xf>
    <xf numFmtId="180" fontId="6" fillId="0" borderId="6" xfId="15" applyNumberFormat="1" applyFont="1" applyBorder="1" applyAlignment="1">
      <alignment/>
    </xf>
    <xf numFmtId="180" fontId="9" fillId="0" borderId="23" xfId="15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5" xfId="0" applyFont="1" applyBorder="1" applyAlignment="1">
      <alignment/>
    </xf>
    <xf numFmtId="0" fontId="23" fillId="0" borderId="24" xfId="0" applyFont="1" applyBorder="1" applyAlignment="1">
      <alignment/>
    </xf>
    <xf numFmtId="0" fontId="24" fillId="0" borderId="8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6" fillId="0" borderId="0" xfId="0" applyFont="1" applyAlignment="1">
      <alignment/>
    </xf>
    <xf numFmtId="180" fontId="16" fillId="0" borderId="15" xfId="15" applyNumberFormat="1" applyFont="1" applyBorder="1" applyAlignment="1">
      <alignment/>
    </xf>
    <xf numFmtId="180" fontId="8" fillId="0" borderId="4" xfId="15" applyNumberFormat="1" applyFont="1" applyBorder="1" applyAlignment="1">
      <alignment/>
    </xf>
    <xf numFmtId="180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6" xfId="0" applyNumberFormat="1" applyFont="1" applyBorder="1" applyAlignment="1">
      <alignment/>
    </xf>
    <xf numFmtId="37" fontId="8" fillId="0" borderId="18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6" xfId="0" applyFont="1" applyBorder="1" applyAlignment="1">
      <alignment/>
    </xf>
    <xf numFmtId="180" fontId="8" fillId="0" borderId="0" xfId="15" applyNumberFormat="1" applyFont="1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 horizontal="centerContinuous"/>
      <protection/>
    </xf>
    <xf numFmtId="37" fontId="0" fillId="0" borderId="8" xfId="0" applyNumberFormat="1" applyBorder="1" applyAlignment="1" applyProtection="1">
      <alignment horizontal="right"/>
      <protection/>
    </xf>
    <xf numFmtId="37" fontId="0" fillId="0" borderId="5" xfId="0" applyNumberForma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/>
      <protection/>
    </xf>
    <xf numFmtId="37" fontId="0" fillId="0" borderId="25" xfId="0" applyNumberFormat="1" applyBorder="1" applyAlignment="1" applyProtection="1">
      <alignment/>
      <protection/>
    </xf>
    <xf numFmtId="37" fontId="6" fillId="0" borderId="7" xfId="0" applyNumberFormat="1" applyFont="1" applyBorder="1" applyAlignment="1" applyProtection="1">
      <alignment horizontal="centerContinuous"/>
      <protection/>
    </xf>
    <xf numFmtId="0" fontId="9" fillId="0" borderId="1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/>
    </xf>
    <xf numFmtId="37" fontId="6" fillId="0" borderId="20" xfId="0" applyNumberFormat="1" applyFont="1" applyBorder="1" applyAlignment="1" applyProtection="1">
      <alignment horizontal="right"/>
      <protection/>
    </xf>
    <xf numFmtId="0" fontId="6" fillId="0" borderId="26" xfId="0" applyFont="1" applyBorder="1" applyAlignment="1">
      <alignment horizontal="center"/>
    </xf>
    <xf numFmtId="37" fontId="6" fillId="0" borderId="7" xfId="0" applyNumberFormat="1" applyFont="1" applyBorder="1" applyAlignment="1" applyProtection="1">
      <alignment horizontal="left"/>
      <protection/>
    </xf>
    <xf numFmtId="37" fontId="6" fillId="0" borderId="19" xfId="0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6" xfId="0" applyFont="1" applyBorder="1" applyAlignment="1">
      <alignment/>
    </xf>
    <xf numFmtId="37" fontId="9" fillId="0" borderId="6" xfId="0" applyNumberFormat="1" applyFont="1" applyBorder="1" applyAlignment="1" applyProtection="1">
      <alignment/>
      <protection/>
    </xf>
    <xf numFmtId="37" fontId="9" fillId="0" borderId="27" xfId="0" applyNumberFormat="1" applyFont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/>
    </xf>
    <xf numFmtId="37" fontId="8" fillId="0" borderId="18" xfId="0" applyNumberFormat="1" applyFont="1" applyBorder="1" applyAlignment="1" applyProtection="1">
      <alignment/>
      <protection/>
    </xf>
    <xf numFmtId="0" fontId="23" fillId="0" borderId="1" xfId="0" applyFont="1" applyBorder="1" applyAlignment="1">
      <alignment horizontal="center"/>
    </xf>
    <xf numFmtId="37" fontId="8" fillId="0" borderId="5" xfId="0" applyNumberFormat="1" applyFont="1" applyBorder="1" applyAlignment="1" applyProtection="1">
      <alignment/>
      <protection/>
    </xf>
    <xf numFmtId="0" fontId="0" fillId="0" borderId="2" xfId="0" applyBorder="1" applyAlignment="1">
      <alignment/>
    </xf>
    <xf numFmtId="180" fontId="8" fillId="0" borderId="4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180" fontId="9" fillId="0" borderId="4" xfId="15" applyNumberFormat="1" applyFont="1" applyBorder="1" applyAlignment="1">
      <alignment/>
    </xf>
    <xf numFmtId="37" fontId="8" fillId="0" borderId="4" xfId="0" applyNumberFormat="1" applyFont="1" applyBorder="1" applyAlignment="1" applyProtection="1">
      <alignment/>
      <protection/>
    </xf>
    <xf numFmtId="180" fontId="8" fillId="0" borderId="12" xfId="15" applyNumberFormat="1" applyFont="1" applyBorder="1" applyAlignment="1">
      <alignment/>
    </xf>
    <xf numFmtId="180" fontId="8" fillId="0" borderId="28" xfId="0" applyNumberFormat="1" applyFont="1" applyBorder="1" applyAlignment="1">
      <alignment/>
    </xf>
    <xf numFmtId="0" fontId="25" fillId="0" borderId="4" xfId="0" applyFont="1" applyBorder="1" applyAlignment="1" quotePrefix="1">
      <alignment horizontal="right"/>
    </xf>
    <xf numFmtId="0" fontId="25" fillId="0" borderId="4" xfId="0" applyFont="1" applyBorder="1" applyAlignment="1">
      <alignment horizontal="right"/>
    </xf>
    <xf numFmtId="37" fontId="11" fillId="0" borderId="10" xfId="0" applyNumberFormat="1" applyFont="1" applyBorder="1" applyAlignment="1" applyProtection="1">
      <alignment/>
      <protection/>
    </xf>
    <xf numFmtId="0" fontId="16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8" xfId="0" applyFont="1" applyBorder="1" applyAlignment="1">
      <alignment/>
    </xf>
    <xf numFmtId="41" fontId="6" fillId="0" borderId="29" xfId="15" applyNumberFormat="1" applyFont="1" applyBorder="1" applyAlignment="1">
      <alignment/>
    </xf>
    <xf numFmtId="41" fontId="0" fillId="0" borderId="8" xfId="15" applyNumberFormat="1" applyFont="1" applyBorder="1" applyAlignment="1">
      <alignment/>
    </xf>
    <xf numFmtId="41" fontId="0" fillId="0" borderId="5" xfId="15" applyNumberFormat="1" applyFont="1" applyBorder="1" applyAlignment="1">
      <alignment/>
    </xf>
    <xf numFmtId="41" fontId="6" fillId="0" borderId="30" xfId="15" applyNumberFormat="1" applyFont="1" applyBorder="1" applyAlignment="1">
      <alignment/>
    </xf>
    <xf numFmtId="41" fontId="6" fillId="0" borderId="18" xfId="15" applyNumberFormat="1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9" fillId="0" borderId="18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37" fontId="0" fillId="0" borderId="12" xfId="0" applyNumberFormat="1" applyBorder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 quotePrefix="1">
      <alignment horizontal="left" vertical="center"/>
    </xf>
    <xf numFmtId="37" fontId="0" fillId="0" borderId="8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>
      <alignment horizontal="center"/>
    </xf>
    <xf numFmtId="37" fontId="0" fillId="0" borderId="31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12" xfId="0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28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7" fontId="0" fillId="0" borderId="14" xfId="0" applyNumberFormat="1" applyFont="1" applyBorder="1" applyAlignment="1">
      <alignment horizontal="centerContinuous"/>
    </xf>
    <xf numFmtId="7" fontId="0" fillId="0" borderId="16" xfId="0" applyNumberFormat="1" applyFont="1" applyBorder="1" applyAlignment="1">
      <alignment horizontal="centerContinuous"/>
    </xf>
    <xf numFmtId="7" fontId="0" fillId="0" borderId="32" xfId="0" applyNumberFormat="1" applyFont="1" applyBorder="1" applyAlignment="1">
      <alignment horizontal="centerContinuous"/>
    </xf>
    <xf numFmtId="0" fontId="0" fillId="0" borderId="33" xfId="0" applyFont="1" applyBorder="1" applyAlignment="1">
      <alignment horizontal="centerContinuous"/>
    </xf>
    <xf numFmtId="7" fontId="0" fillId="0" borderId="0" xfId="0" applyNumberFormat="1" applyFont="1" applyAlignment="1">
      <alignment horizontal="centerContinuous"/>
    </xf>
    <xf numFmtId="0" fontId="4" fillId="0" borderId="16" xfId="0" applyFont="1" applyBorder="1" applyAlignment="1">
      <alignment/>
    </xf>
    <xf numFmtId="0" fontId="6" fillId="0" borderId="0" xfId="0" applyFont="1" applyBorder="1" applyAlignment="1">
      <alignment/>
    </xf>
    <xf numFmtId="37" fontId="8" fillId="0" borderId="0" xfId="17" applyNumberFormat="1" applyFont="1" applyBorder="1" applyAlignment="1">
      <alignment/>
    </xf>
    <xf numFmtId="37" fontId="8" fillId="0" borderId="0" xfId="15" applyNumberFormat="1" applyFont="1" applyBorder="1" applyAlignment="1">
      <alignment/>
    </xf>
    <xf numFmtId="37" fontId="8" fillId="0" borderId="27" xfId="15" applyNumberFormat="1" applyFont="1" applyBorder="1" applyAlignment="1">
      <alignment/>
    </xf>
    <xf numFmtId="37" fontId="9" fillId="0" borderId="18" xfId="15" applyNumberFormat="1" applyFont="1" applyBorder="1" applyAlignment="1">
      <alignment/>
    </xf>
    <xf numFmtId="37" fontId="8" fillId="0" borderId="0" xfId="15" applyNumberFormat="1" applyFont="1" applyAlignment="1">
      <alignment/>
    </xf>
    <xf numFmtId="37" fontId="8" fillId="0" borderId="27" xfId="0" applyNumberFormat="1" applyFont="1" applyBorder="1" applyAlignment="1">
      <alignment/>
    </xf>
    <xf numFmtId="37" fontId="16" fillId="0" borderId="18" xfId="0" applyNumberFormat="1" applyFont="1" applyBorder="1" applyAlignment="1">
      <alignment/>
    </xf>
    <xf numFmtId="37" fontId="8" fillId="0" borderId="34" xfId="15" applyNumberFormat="1" applyFont="1" applyBorder="1" applyAlignment="1">
      <alignment/>
    </xf>
    <xf numFmtId="37" fontId="8" fillId="0" borderId="0" xfId="15" applyNumberFormat="1" applyFont="1" applyBorder="1" applyAlignment="1">
      <alignment horizontal="right"/>
    </xf>
    <xf numFmtId="37" fontId="9" fillId="0" borderId="7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8" fillId="0" borderId="5" xfId="15" applyNumberFormat="1" applyFont="1" applyBorder="1" applyAlignment="1">
      <alignment horizontal="right"/>
    </xf>
    <xf numFmtId="37" fontId="16" fillId="0" borderId="16" xfId="15" applyNumberFormat="1" applyFont="1" applyBorder="1" applyAlignment="1">
      <alignment/>
    </xf>
    <xf numFmtId="37" fontId="0" fillId="0" borderId="0" xfId="0" applyNumberFormat="1" applyAlignment="1">
      <alignment/>
    </xf>
    <xf numFmtId="0" fontId="7" fillId="0" borderId="18" xfId="0" applyFont="1" applyBorder="1" applyAlignment="1">
      <alignment horizontal="left"/>
    </xf>
    <xf numFmtId="37" fontId="15" fillId="0" borderId="30" xfId="0" applyNumberFormat="1" applyFont="1" applyBorder="1" applyAlignment="1" applyProtection="1">
      <alignment/>
      <protection/>
    </xf>
    <xf numFmtId="37" fontId="0" fillId="0" borderId="25" xfId="0" applyNumberFormat="1" applyFont="1" applyBorder="1" applyAlignment="1" applyProtection="1">
      <alignment horizontal="right"/>
      <protection/>
    </xf>
    <xf numFmtId="37" fontId="0" fillId="0" borderId="35" xfId="0" applyNumberFormat="1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 horizontal="centerContinuous"/>
      <protection/>
    </xf>
    <xf numFmtId="41" fontId="0" fillId="0" borderId="36" xfId="15" applyNumberFormat="1" applyFont="1" applyBorder="1" applyAlignment="1">
      <alignment/>
    </xf>
    <xf numFmtId="166" fontId="0" fillId="0" borderId="18" xfId="0" applyNumberFormat="1" applyBorder="1" applyAlignment="1" applyProtection="1" quotePrefix="1">
      <alignment horizontal="centerContinuous"/>
      <protection/>
    </xf>
    <xf numFmtId="166" fontId="0" fillId="0" borderId="18" xfId="0" applyNumberFormat="1" applyBorder="1" applyAlignment="1" applyProtection="1" quotePrefix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0" fontId="25" fillId="0" borderId="6" xfId="0" applyFont="1" applyBorder="1" applyAlignment="1" quotePrefix="1">
      <alignment horizontal="right"/>
    </xf>
    <xf numFmtId="14" fontId="0" fillId="0" borderId="0" xfId="0" applyNumberFormat="1" applyBorder="1" applyAlignment="1">
      <alignment horizontal="centerContinuous"/>
    </xf>
    <xf numFmtId="0" fontId="0" fillId="0" borderId="0" xfId="0" applyBorder="1" applyAlignment="1">
      <alignment horizontal="right"/>
    </xf>
    <xf numFmtId="0" fontId="25" fillId="0" borderId="15" xfId="0" applyFont="1" applyBorder="1" applyAlignment="1" quotePrefix="1">
      <alignment horizontal="right"/>
    </xf>
    <xf numFmtId="0" fontId="25" fillId="0" borderId="15" xfId="0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37" fontId="0" fillId="0" borderId="14" xfId="0" applyNumberFormat="1" applyBorder="1" applyAlignment="1" applyProtection="1">
      <alignment/>
      <protection/>
    </xf>
    <xf numFmtId="177" fontId="0" fillId="0" borderId="37" xfId="0" applyNumberFormat="1" applyFont="1" applyBorder="1" applyAlignment="1" applyProtection="1">
      <alignment horizontal="center"/>
      <protection/>
    </xf>
    <xf numFmtId="37" fontId="0" fillId="0" borderId="38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>
      <alignment horizontal="right"/>
    </xf>
    <xf numFmtId="37" fontId="0" fillId="0" borderId="28" xfId="0" applyNumberFormat="1" applyBorder="1" applyAlignment="1" applyProtection="1">
      <alignment horizontal="right"/>
      <protection/>
    </xf>
    <xf numFmtId="0" fontId="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right"/>
    </xf>
    <xf numFmtId="166" fontId="0" fillId="0" borderId="18" xfId="0" applyNumberFormat="1" applyBorder="1" applyAlignment="1" applyProtection="1">
      <alignment horizontal="centerContinuous"/>
      <protection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center"/>
    </xf>
    <xf numFmtId="37" fontId="0" fillId="0" borderId="39" xfId="0" applyNumberFormat="1" applyBorder="1" applyAlignment="1" applyProtection="1">
      <alignment/>
      <protection/>
    </xf>
    <xf numFmtId="37" fontId="0" fillId="0" borderId="33" xfId="0" applyNumberFormat="1" applyBorder="1" applyAlignment="1" applyProtection="1">
      <alignment/>
      <protection/>
    </xf>
    <xf numFmtId="0" fontId="10" fillId="0" borderId="13" xfId="0" applyFont="1" applyBorder="1" applyAlignment="1">
      <alignment/>
    </xf>
    <xf numFmtId="0" fontId="0" fillId="0" borderId="38" xfId="0" applyFont="1" applyBorder="1" applyAlignment="1">
      <alignment horizontal="right"/>
    </xf>
    <xf numFmtId="177" fontId="0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7" fontId="15" fillId="0" borderId="0" xfId="0" applyNumberFormat="1" applyFont="1" applyBorder="1" applyAlignment="1" applyProtection="1">
      <alignment/>
      <protection/>
    </xf>
    <xf numFmtId="0" fontId="9" fillId="0" borderId="18" xfId="0" applyFont="1" applyBorder="1" applyAlignment="1">
      <alignment horizontal="right"/>
    </xf>
    <xf numFmtId="166" fontId="9" fillId="0" borderId="18" xfId="0" applyNumberFormat="1" applyFont="1" applyBorder="1" applyAlignment="1" applyProtection="1">
      <alignment horizontal="centerContinuous"/>
      <protection/>
    </xf>
    <xf numFmtId="0" fontId="8" fillId="0" borderId="18" xfId="0" applyFont="1" applyBorder="1" applyAlignment="1">
      <alignment horizontal="centerContinuous"/>
    </xf>
    <xf numFmtId="0" fontId="9" fillId="0" borderId="18" xfId="0" applyFont="1" applyBorder="1" applyAlignment="1">
      <alignment horizontal="center"/>
    </xf>
    <xf numFmtId="37" fontId="6" fillId="0" borderId="18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>
      <alignment/>
    </xf>
    <xf numFmtId="41" fontId="0" fillId="0" borderId="28" xfId="15" applyNumberFormat="1" applyFont="1" applyBorder="1" applyAlignment="1">
      <alignment/>
    </xf>
    <xf numFmtId="37" fontId="6" fillId="0" borderId="40" xfId="0" applyNumberFormat="1" applyFont="1" applyBorder="1" applyAlignment="1" applyProtection="1">
      <alignment/>
      <protection/>
    </xf>
    <xf numFmtId="37" fontId="6" fillId="0" borderId="41" xfId="0" applyNumberFormat="1" applyFont="1" applyBorder="1" applyAlignment="1" applyProtection="1">
      <alignment/>
      <protection/>
    </xf>
    <xf numFmtId="37" fontId="6" fillId="0" borderId="41" xfId="0" applyNumberFormat="1" applyFont="1" applyBorder="1" applyAlignment="1" applyProtection="1">
      <alignment horizontal="centerContinuous"/>
      <protection/>
    </xf>
    <xf numFmtId="37" fontId="6" fillId="0" borderId="40" xfId="0" applyNumberFormat="1" applyFont="1" applyBorder="1" applyAlignment="1" applyProtection="1">
      <alignment/>
      <protection/>
    </xf>
    <xf numFmtId="166" fontId="9" fillId="0" borderId="13" xfId="0" applyNumberFormat="1" applyFont="1" applyBorder="1" applyAlignment="1" applyProtection="1">
      <alignment horizontal="centerContinuous"/>
      <protection/>
    </xf>
    <xf numFmtId="0" fontId="6" fillId="0" borderId="14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37" fontId="6" fillId="0" borderId="41" xfId="0" applyNumberFormat="1" applyFont="1" applyBorder="1" applyAlignment="1" applyProtection="1">
      <alignment/>
      <protection/>
    </xf>
    <xf numFmtId="37" fontId="9" fillId="0" borderId="11" xfId="0" applyNumberFormat="1" applyFont="1" applyBorder="1" applyAlignment="1" applyProtection="1">
      <alignment/>
      <protection/>
    </xf>
    <xf numFmtId="166" fontId="0" fillId="0" borderId="13" xfId="0" applyNumberFormat="1" applyBorder="1" applyAlignment="1" applyProtection="1">
      <alignment horizontal="centerContinuous"/>
      <protection/>
    </xf>
    <xf numFmtId="166" fontId="0" fillId="0" borderId="14" xfId="0" applyNumberFormat="1" applyBorder="1" applyAlignment="1" applyProtection="1">
      <alignment horizontal="centerContinuous"/>
      <protection/>
    </xf>
    <xf numFmtId="0" fontId="6" fillId="0" borderId="0" xfId="0" applyFont="1" applyBorder="1" applyAlignment="1" quotePrefix="1">
      <alignment horizontal="right"/>
    </xf>
    <xf numFmtId="37" fontId="0" fillId="0" borderId="41" xfId="0" applyNumberFormat="1" applyFont="1" applyBorder="1" applyAlignment="1" applyProtection="1">
      <alignment/>
      <protection/>
    </xf>
    <xf numFmtId="0" fontId="0" fillId="0" borderId="0" xfId="21" applyFont="1">
      <alignment/>
      <protection/>
    </xf>
    <xf numFmtId="37" fontId="6" fillId="0" borderId="28" xfId="0" applyNumberFormat="1" applyFont="1" applyBorder="1" applyAlignment="1" applyProtection="1">
      <alignment/>
      <protection/>
    </xf>
    <xf numFmtId="37" fontId="6" fillId="0" borderId="23" xfId="0" applyNumberFormat="1" applyFont="1" applyBorder="1" applyAlignment="1" applyProtection="1">
      <alignment/>
      <protection/>
    </xf>
    <xf numFmtId="37" fontId="0" fillId="0" borderId="24" xfId="0" applyNumberFormat="1" applyBorder="1" applyAlignment="1" applyProtection="1">
      <alignment horizontal="centerContinuous"/>
      <protection/>
    </xf>
    <xf numFmtId="37" fontId="6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8" fillId="0" borderId="16" xfId="15" applyNumberFormat="1" applyFont="1" applyBorder="1" applyAlignment="1">
      <alignment horizontal="right"/>
    </xf>
    <xf numFmtId="0" fontId="25" fillId="0" borderId="24" xfId="0" applyFont="1" applyBorder="1" applyAlignment="1">
      <alignment/>
    </xf>
    <xf numFmtId="0" fontId="25" fillId="0" borderId="16" xfId="0" applyFont="1" applyBorder="1" applyAlignment="1">
      <alignment/>
    </xf>
    <xf numFmtId="0" fontId="9" fillId="0" borderId="0" xfId="0" applyFont="1" applyBorder="1" applyAlignment="1">
      <alignment horizontal="right"/>
    </xf>
    <xf numFmtId="166" fontId="9" fillId="0" borderId="0" xfId="0" applyNumberFormat="1" applyFont="1" applyBorder="1" applyAlignment="1" applyProtection="1">
      <alignment horizontal="centerContinuous"/>
      <protection/>
    </xf>
    <xf numFmtId="0" fontId="8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37" fontId="0" fillId="0" borderId="30" xfId="0" applyNumberFormat="1" applyFont="1" applyBorder="1" applyAlignment="1">
      <alignment horizontal="right"/>
    </xf>
    <xf numFmtId="194" fontId="0" fillId="0" borderId="0" xfId="0" applyNumberFormat="1" applyAlignment="1">
      <alignment horizontal="center"/>
    </xf>
    <xf numFmtId="166" fontId="0" fillId="0" borderId="4" xfId="0" applyNumberFormat="1" applyBorder="1" applyAlignment="1" applyProtection="1" quotePrefix="1">
      <alignment horizontal="center"/>
      <protection/>
    </xf>
    <xf numFmtId="166" fontId="0" fillId="0" borderId="12" xfId="0" applyNumberFormat="1" applyBorder="1" applyAlignment="1" applyProtection="1">
      <alignment horizontal="centerContinuous"/>
      <protection/>
    </xf>
    <xf numFmtId="49" fontId="0" fillId="0" borderId="0" xfId="0" applyNumberFormat="1" applyAlignment="1">
      <alignment/>
    </xf>
    <xf numFmtId="194" fontId="0" fillId="0" borderId="14" xfId="0" applyNumberFormat="1" applyBorder="1" applyAlignment="1">
      <alignment horizontal="center"/>
    </xf>
    <xf numFmtId="0" fontId="0" fillId="0" borderId="4" xfId="0" applyFont="1" applyBorder="1" applyAlignment="1">
      <alignment horizontal="left"/>
    </xf>
    <xf numFmtId="37" fontId="0" fillId="0" borderId="42" xfId="0" applyNumberFormat="1" applyFont="1" applyBorder="1" applyAlignment="1" applyProtection="1">
      <alignment horizontal="left"/>
      <protection/>
    </xf>
    <xf numFmtId="37" fontId="0" fillId="0" borderId="42" xfId="0" applyNumberFormat="1" applyFont="1" applyBorder="1" applyAlignment="1" applyProtection="1">
      <alignment/>
      <protection/>
    </xf>
    <xf numFmtId="37" fontId="0" fillId="0" borderId="43" xfId="0" applyNumberFormat="1" applyFont="1" applyBorder="1" applyAlignment="1" applyProtection="1">
      <alignment/>
      <protection/>
    </xf>
    <xf numFmtId="37" fontId="0" fillId="0" borderId="44" xfId="0" applyNumberFormat="1" applyFont="1" applyBorder="1" applyAlignment="1" applyProtection="1">
      <alignment/>
      <protection/>
    </xf>
    <xf numFmtId="37" fontId="0" fillId="0" borderId="45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/>
    </xf>
    <xf numFmtId="37" fontId="0" fillId="0" borderId="18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18" xfId="0" applyFont="1" applyBorder="1" applyAlignment="1">
      <alignment vertical="top"/>
    </xf>
    <xf numFmtId="0" fontId="6" fillId="0" borderId="18" xfId="0" applyFont="1" applyBorder="1" applyAlignment="1">
      <alignment horizontal="centerContinuous" vertical="top"/>
    </xf>
    <xf numFmtId="0" fontId="0" fillId="0" borderId="18" xfId="0" applyBorder="1" applyAlignment="1">
      <alignment horizontal="centerContinuous" vertical="top"/>
    </xf>
    <xf numFmtId="0" fontId="0" fillId="0" borderId="18" xfId="0" applyBorder="1" applyAlignment="1">
      <alignment vertical="top"/>
    </xf>
    <xf numFmtId="166" fontId="0" fillId="0" borderId="18" xfId="0" applyNumberFormat="1" applyBorder="1" applyAlignment="1" applyProtection="1">
      <alignment horizontal="centerContinuous" vertical="top"/>
      <protection/>
    </xf>
    <xf numFmtId="169" fontId="6" fillId="0" borderId="18" xfId="0" applyNumberFormat="1" applyFont="1" applyBorder="1" applyAlignment="1" applyProtection="1">
      <alignment horizontal="centerContinuous" vertical="top"/>
      <protection/>
    </xf>
    <xf numFmtId="0" fontId="6" fillId="0" borderId="0" xfId="0" applyFont="1" applyAlignment="1">
      <alignment horizontal="centerContinuous" vertical="top"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centerContinuous" vertical="top"/>
    </xf>
    <xf numFmtId="0" fontId="6" fillId="0" borderId="16" xfId="0" applyFont="1" applyBorder="1" applyAlignment="1">
      <alignment horizontal="centerContinuous" vertical="top"/>
    </xf>
    <xf numFmtId="0" fontId="0" fillId="0" borderId="16" xfId="0" applyFont="1" applyBorder="1" applyAlignment="1">
      <alignment horizontal="centerContinuous" vertical="top"/>
    </xf>
    <xf numFmtId="0" fontId="0" fillId="0" borderId="16" xfId="0" applyFont="1" applyBorder="1" applyAlignment="1">
      <alignment vertical="top"/>
    </xf>
    <xf numFmtId="37" fontId="0" fillId="0" borderId="37" xfId="0" applyNumberFormat="1" applyFont="1" applyBorder="1" applyAlignment="1">
      <alignment/>
    </xf>
    <xf numFmtId="37" fontId="0" fillId="0" borderId="46" xfId="0" applyNumberFormat="1" applyFont="1" applyBorder="1" applyAlignment="1">
      <alignment/>
    </xf>
    <xf numFmtId="37" fontId="0" fillId="0" borderId="4" xfId="0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0" fontId="0" fillId="0" borderId="33" xfId="0" applyFont="1" applyBorder="1" applyAlignment="1">
      <alignment horizontal="centerContinuous" vertical="center"/>
    </xf>
    <xf numFmtId="173" fontId="0" fillId="0" borderId="47" xfId="0" applyNumberFormat="1" applyFont="1" applyBorder="1" applyAlignment="1" quotePrefix="1">
      <alignment horizontal="center" vertical="center"/>
    </xf>
    <xf numFmtId="0" fontId="0" fillId="0" borderId="47" xfId="0" applyNumberFormat="1" applyFont="1" applyBorder="1" applyAlignment="1" quotePrefix="1">
      <alignment horizontal="center" vertical="center"/>
    </xf>
    <xf numFmtId="0" fontId="0" fillId="0" borderId="39" xfId="0" applyNumberFormat="1" applyFont="1" applyBorder="1" applyAlignment="1" quotePrefix="1">
      <alignment horizontal="center" vertical="center"/>
    </xf>
    <xf numFmtId="0" fontId="0" fillId="0" borderId="48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horizontal="centerContinuous" vertical="center"/>
    </xf>
    <xf numFmtId="0" fontId="6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0" fillId="0" borderId="49" xfId="0" applyFont="1" applyBorder="1" applyAlignment="1">
      <alignment horizontal="centerContinuous"/>
    </xf>
    <xf numFmtId="194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4" xfId="0" applyFont="1" applyBorder="1" applyAlignment="1">
      <alignment horizontal="right" vertical="center"/>
    </xf>
    <xf numFmtId="14" fontId="0" fillId="0" borderId="4" xfId="0" applyNumberFormat="1" applyFont="1" applyBorder="1" applyAlignment="1" applyProtection="1">
      <alignment horizontal="center"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37" fontId="0" fillId="0" borderId="17" xfId="0" applyNumberFormat="1" applyFont="1" applyBorder="1" applyAlignment="1" applyProtection="1">
      <alignment vertical="center"/>
      <protection/>
    </xf>
    <xf numFmtId="49" fontId="0" fillId="0" borderId="50" xfId="0" applyNumberFormat="1" applyFont="1" applyBorder="1" applyAlignment="1">
      <alignment horizontal="centerContinuous"/>
    </xf>
    <xf numFmtId="0" fontId="0" fillId="0" borderId="33" xfId="0" applyFont="1" applyBorder="1" applyAlignment="1">
      <alignment horizontal="center"/>
    </xf>
    <xf numFmtId="0" fontId="0" fillId="0" borderId="51" xfId="0" applyFont="1" applyBorder="1" applyAlignment="1">
      <alignment horizontal="centerContinuous"/>
    </xf>
    <xf numFmtId="169" fontId="6" fillId="0" borderId="18" xfId="0" applyNumberFormat="1" applyFont="1" applyBorder="1" applyAlignment="1" applyProtection="1">
      <alignment horizontal="right" vertical="top"/>
      <protection/>
    </xf>
    <xf numFmtId="37" fontId="0" fillId="0" borderId="4" xfId="0" applyNumberFormat="1" applyFont="1" applyBorder="1" applyAlignment="1" applyProtection="1">
      <alignment horizontal="right"/>
      <protection/>
    </xf>
    <xf numFmtId="37" fontId="0" fillId="0" borderId="0" xfId="0" applyNumberFormat="1" applyFont="1" applyBorder="1" applyAlignment="1" applyProtection="1">
      <alignment horizontal="centerContinuous"/>
      <protection/>
    </xf>
    <xf numFmtId="37" fontId="0" fillId="0" borderId="52" xfId="0" applyNumberFormat="1" applyBorder="1" applyAlignment="1" applyProtection="1">
      <alignment/>
      <protection/>
    </xf>
    <xf numFmtId="37" fontId="0" fillId="0" borderId="53" xfId="0" applyNumberFormat="1" applyBorder="1" applyAlignment="1" applyProtection="1">
      <alignment horizontal="right"/>
      <protection/>
    </xf>
    <xf numFmtId="37" fontId="0" fillId="0" borderId="12" xfId="0" applyNumberFormat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23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2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AS ASCI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942975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3352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228600</xdr:colOff>
      <xdr:row>79</xdr:row>
      <xdr:rowOff>0</xdr:rowOff>
    </xdr:from>
    <xdr:ext cx="104775" cy="247650"/>
    <xdr:sp>
      <xdr:nvSpPr>
        <xdr:cNvPr id="1" name="TextBox 1"/>
        <xdr:cNvSpPr txBox="1">
          <a:spLocks noChangeArrowheads="1"/>
        </xdr:cNvSpPr>
      </xdr:nvSpPr>
      <xdr:spPr>
        <a:xfrm>
          <a:off x="3581400" y="1639252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81</xdr:row>
      <xdr:rowOff>0</xdr:rowOff>
    </xdr:from>
    <xdr:ext cx="104775" cy="247650"/>
    <xdr:sp>
      <xdr:nvSpPr>
        <xdr:cNvPr id="2" name="TextBox 2"/>
        <xdr:cNvSpPr txBox="1">
          <a:spLocks noChangeArrowheads="1"/>
        </xdr:cNvSpPr>
      </xdr:nvSpPr>
      <xdr:spPr>
        <a:xfrm>
          <a:off x="3581400" y="16792575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228600</xdr:colOff>
      <xdr:row>77</xdr:row>
      <xdr:rowOff>180975</xdr:rowOff>
    </xdr:from>
    <xdr:ext cx="104775" cy="247650"/>
    <xdr:sp>
      <xdr:nvSpPr>
        <xdr:cNvPr id="3" name="TextBox 3"/>
        <xdr:cNvSpPr txBox="1">
          <a:spLocks noChangeArrowheads="1"/>
        </xdr:cNvSpPr>
      </xdr:nvSpPr>
      <xdr:spPr>
        <a:xfrm>
          <a:off x="3581400" y="16173450"/>
          <a:ext cx="104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6"/>
  <sheetViews>
    <sheetView tabSelected="1" view="pageBreakPreview" zoomScale="75" zoomScaleNormal="65" zoomScaleSheetLayoutView="75" workbookViewId="0" topLeftCell="A1">
      <selection activeCell="D7" sqref="D7"/>
    </sheetView>
  </sheetViews>
  <sheetFormatPr defaultColWidth="8.88671875" defaultRowHeight="15"/>
  <cols>
    <col min="1" max="3" width="2.77734375" style="0" customWidth="1"/>
    <col min="4" max="4" width="50.88671875" style="0" customWidth="1"/>
    <col min="5" max="5" width="4.88671875" style="0" customWidth="1"/>
    <col min="6" max="6" width="14.88671875" style="0" customWidth="1"/>
    <col min="7" max="7" width="4.88671875" style="0" customWidth="1"/>
    <col min="8" max="8" width="4.99609375" style="0" customWidth="1"/>
    <col min="9" max="9" width="18.99609375" style="0" customWidth="1"/>
    <col min="10" max="10" width="4.99609375" style="0" customWidth="1"/>
    <col min="11" max="11" width="4.88671875" style="0" customWidth="1"/>
    <col min="12" max="12" width="18.6640625" style="0" customWidth="1"/>
    <col min="13" max="13" width="4.77734375" style="0" customWidth="1"/>
  </cols>
  <sheetData>
    <row r="1" spans="1:235" ht="41.25">
      <c r="A1" s="437" t="s">
        <v>745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</row>
    <row r="2" spans="1:235" ht="40.5" customHeight="1">
      <c r="A2" s="437" t="s">
        <v>61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</row>
    <row r="3" spans="1:235" ht="47.25" customHeight="1">
      <c r="A3" s="438" t="s">
        <v>723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</row>
    <row r="4" spans="1:235" ht="20.25" customHeight="1" thickBot="1">
      <c r="A4" s="439" t="s">
        <v>63</v>
      </c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</row>
    <row r="5" spans="1:13" ht="41.25" customHeight="1" thickTop="1">
      <c r="A5" s="416" t="s">
        <v>724</v>
      </c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</row>
    <row r="6" spans="1:13" ht="24.75" customHeight="1">
      <c r="A6" s="435" t="s">
        <v>184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</row>
    <row r="7" spans="1:13" ht="20.25">
      <c r="A7" s="161"/>
      <c r="B7" s="161"/>
      <c r="C7" s="161"/>
      <c r="D7" s="161"/>
      <c r="E7" s="428" t="s">
        <v>464</v>
      </c>
      <c r="F7" s="429"/>
      <c r="G7" s="429"/>
      <c r="H7" s="430"/>
      <c r="I7" s="430"/>
      <c r="J7" s="431"/>
      <c r="K7" s="204"/>
      <c r="L7" s="206"/>
      <c r="M7" s="206"/>
    </row>
    <row r="8" spans="1:13" ht="20.25">
      <c r="A8" s="423" t="s">
        <v>64</v>
      </c>
      <c r="B8" s="423"/>
      <c r="C8" s="423"/>
      <c r="D8" s="419"/>
      <c r="E8" s="417" t="s">
        <v>467</v>
      </c>
      <c r="F8" s="418"/>
      <c r="G8" s="419"/>
      <c r="H8" s="417" t="s">
        <v>465</v>
      </c>
      <c r="I8" s="418"/>
      <c r="J8" s="419"/>
      <c r="K8" s="417" t="s">
        <v>461</v>
      </c>
      <c r="L8" s="432"/>
      <c r="M8" s="432"/>
    </row>
    <row r="9" spans="1:13" ht="20.25">
      <c r="A9" s="162"/>
      <c r="B9" s="162"/>
      <c r="C9" s="162"/>
      <c r="D9" s="163"/>
      <c r="E9" s="420" t="s">
        <v>741</v>
      </c>
      <c r="F9" s="421"/>
      <c r="G9" s="422"/>
      <c r="H9" s="420" t="s">
        <v>466</v>
      </c>
      <c r="I9" s="421"/>
      <c r="J9" s="422"/>
      <c r="K9" s="164"/>
      <c r="L9" s="165"/>
      <c r="M9" s="59"/>
    </row>
    <row r="10" spans="1:12" ht="18">
      <c r="A10" s="82" t="s">
        <v>66</v>
      </c>
      <c r="D10" s="9"/>
      <c r="E10" s="7"/>
      <c r="F10" s="8"/>
      <c r="G10" s="9"/>
      <c r="H10" s="7"/>
      <c r="J10" s="9"/>
      <c r="K10" s="7"/>
      <c r="L10" s="8"/>
    </row>
    <row r="11" spans="2:12" ht="19.5" customHeight="1">
      <c r="B11" s="82" t="s">
        <v>80</v>
      </c>
      <c r="D11" s="21"/>
      <c r="E11" s="133" t="s">
        <v>62</v>
      </c>
      <c r="F11" s="278">
        <f>SUM(Marketable!P53)-I11</f>
        <v>920023.208</v>
      </c>
      <c r="G11" s="158"/>
      <c r="H11" s="133"/>
      <c r="I11" s="96">
        <v>3379.898</v>
      </c>
      <c r="J11" s="154"/>
      <c r="K11" s="168"/>
      <c r="L11" s="271">
        <f>Marketable!P53</f>
        <v>923403.106</v>
      </c>
    </row>
    <row r="12" spans="2:12" ht="19.5" customHeight="1">
      <c r="B12" s="82" t="s">
        <v>228</v>
      </c>
      <c r="D12" s="21"/>
      <c r="E12" s="215" t="s">
        <v>62</v>
      </c>
      <c r="F12" s="278">
        <f>SUM(Marketable!P159)-I12</f>
        <v>2272340.445</v>
      </c>
      <c r="G12" s="293"/>
      <c r="H12" s="214"/>
      <c r="I12" s="96">
        <v>720.778</v>
      </c>
      <c r="J12" s="293"/>
      <c r="K12" s="168"/>
      <c r="L12" s="271">
        <f>Marketable!P159</f>
        <v>2273061.2229999998</v>
      </c>
    </row>
    <row r="13" spans="2:12" ht="19.5" customHeight="1">
      <c r="B13" s="82" t="s">
        <v>229</v>
      </c>
      <c r="D13" s="21"/>
      <c r="E13" s="215" t="s">
        <v>62</v>
      </c>
      <c r="F13" s="278">
        <f>SUM(Marketable!P224)-I13</f>
        <v>529746.3843500001</v>
      </c>
      <c r="G13" s="293"/>
      <c r="H13" s="214"/>
      <c r="I13" s="96">
        <v>235.485</v>
      </c>
      <c r="J13" s="293"/>
      <c r="K13" s="168"/>
      <c r="L13" s="271">
        <f>+Marketable!P224</f>
        <v>529981.86935</v>
      </c>
    </row>
    <row r="14" spans="2:12" ht="19.5" customHeight="1">
      <c r="B14" s="82" t="s">
        <v>892</v>
      </c>
      <c r="D14" s="21"/>
      <c r="E14" s="133" t="s">
        <v>62</v>
      </c>
      <c r="F14" s="278">
        <f>+Marketable!P271-I14</f>
        <v>290532.7525144799</v>
      </c>
      <c r="G14" s="158"/>
      <c r="H14" s="133"/>
      <c r="I14" s="96">
        <v>117.64943967</v>
      </c>
      <c r="J14" s="154"/>
      <c r="K14" s="168"/>
      <c r="L14" s="271">
        <f>+Marketable!P271</f>
        <v>290650.40195414994</v>
      </c>
    </row>
    <row r="15" spans="2:12" ht="19.5" customHeight="1">
      <c r="B15" s="82" t="s">
        <v>1073</v>
      </c>
      <c r="D15" s="21"/>
      <c r="E15" s="133" t="s">
        <v>62</v>
      </c>
      <c r="F15" s="278">
        <v>0</v>
      </c>
      <c r="G15" s="158"/>
      <c r="H15" s="133"/>
      <c r="I15" s="345">
        <v>14000</v>
      </c>
      <c r="J15" s="154"/>
      <c r="K15" s="168"/>
      <c r="L15" s="271">
        <f>+Marketable!P272</f>
        <v>14000.01</v>
      </c>
    </row>
    <row r="16" spans="1:12" s="61" customFormat="1" ht="21.75" thickBot="1">
      <c r="A16" s="122" t="s">
        <v>81</v>
      </c>
      <c r="D16" s="155"/>
      <c r="E16" s="157" t="s">
        <v>62</v>
      </c>
      <c r="F16" s="279">
        <f>SUM(F11:F15)-1</f>
        <v>4012641.7898644796</v>
      </c>
      <c r="G16" s="159"/>
      <c r="H16" s="214">
        <v>2</v>
      </c>
      <c r="I16" s="273">
        <f>SUM(I11:I15)</f>
        <v>18453.81043967</v>
      </c>
      <c r="J16" s="155"/>
      <c r="K16" s="210"/>
      <c r="L16" s="279">
        <f>Marketable!P273</f>
        <v>4031095.61030415</v>
      </c>
    </row>
    <row r="17" spans="1:12" ht="33.75" customHeight="1" thickTop="1">
      <c r="A17" s="82" t="s">
        <v>68</v>
      </c>
      <c r="D17" s="21"/>
      <c r="E17" s="10"/>
      <c r="F17" s="280"/>
      <c r="G17" s="21"/>
      <c r="H17" s="10"/>
      <c r="I17" s="283"/>
      <c r="J17" s="21"/>
      <c r="K17" s="10"/>
      <c r="L17" s="280"/>
    </row>
    <row r="18" spans="2:12" ht="19.5" customHeight="1">
      <c r="B18" s="82" t="s">
        <v>381</v>
      </c>
      <c r="D18" s="21"/>
      <c r="E18" s="133" t="s">
        <v>62</v>
      </c>
      <c r="F18" s="278">
        <f>Nonmarketable!O15</f>
        <v>29995.179999999997</v>
      </c>
      <c r="G18" s="158"/>
      <c r="H18" s="133"/>
      <c r="I18" s="96">
        <v>0</v>
      </c>
      <c r="J18" s="154"/>
      <c r="K18" s="168"/>
      <c r="L18" s="271">
        <f>Nonmarketable!O15</f>
        <v>29995.179999999997</v>
      </c>
    </row>
    <row r="19" spans="2:12" ht="19.5" customHeight="1">
      <c r="B19" s="82" t="s">
        <v>382</v>
      </c>
      <c r="D19" s="21"/>
      <c r="E19" s="133" t="s">
        <v>62</v>
      </c>
      <c r="F19" s="278">
        <f>Nonmarketable!O19</f>
        <v>2985.6489999999994</v>
      </c>
      <c r="G19" s="158"/>
      <c r="H19" s="133"/>
      <c r="I19" s="96">
        <v>0</v>
      </c>
      <c r="J19" s="154"/>
      <c r="K19" s="168"/>
      <c r="L19" s="271">
        <f>Nonmarketable!O19</f>
        <v>2985.6489999999994</v>
      </c>
    </row>
    <row r="20" spans="2:12" ht="19.5" customHeight="1">
      <c r="B20" s="82" t="s">
        <v>896</v>
      </c>
      <c r="D20" s="21"/>
      <c r="E20" s="133" t="s">
        <v>62</v>
      </c>
      <c r="F20" s="278">
        <f>SUM(Nonmarketable!O23)</f>
        <v>1.0529999999999973</v>
      </c>
      <c r="G20" s="158"/>
      <c r="H20" s="133"/>
      <c r="I20" s="96">
        <v>0</v>
      </c>
      <c r="J20" s="154"/>
      <c r="K20" s="168"/>
      <c r="L20" s="271">
        <f>Nonmarketable!O23</f>
        <v>1.0529999999999973</v>
      </c>
    </row>
    <row r="21" spans="2:12" ht="19.5" customHeight="1">
      <c r="B21" s="82" t="s">
        <v>897</v>
      </c>
      <c r="D21" s="21"/>
      <c r="E21" s="133" t="s">
        <v>62</v>
      </c>
      <c r="F21" s="278">
        <f>SUM(Nonmarketable!O34)</f>
        <v>206743.62588782</v>
      </c>
      <c r="G21" s="158"/>
      <c r="H21" s="133"/>
      <c r="I21" s="96">
        <v>0</v>
      </c>
      <c r="J21" s="154"/>
      <c r="K21" s="168"/>
      <c r="L21" s="271">
        <f>Nonmarketable!O34</f>
        <v>206743.62588782</v>
      </c>
    </row>
    <row r="22" spans="2:12" ht="19.5" customHeight="1">
      <c r="B22" s="82" t="s">
        <v>901</v>
      </c>
      <c r="D22" s="21"/>
      <c r="E22" s="133" t="s">
        <v>62</v>
      </c>
      <c r="F22" s="278">
        <f>Nonmarketable!O51</f>
        <v>204217.38671803</v>
      </c>
      <c r="G22" s="158"/>
      <c r="H22" s="133"/>
      <c r="I22" s="96">
        <v>0</v>
      </c>
      <c r="J22" s="154"/>
      <c r="K22" s="168"/>
      <c r="L22" s="271">
        <f>Nonmarketable!O51</f>
        <v>204217.38671803</v>
      </c>
    </row>
    <row r="23" spans="2:12" ht="19.5" customHeight="1">
      <c r="B23" s="82" t="s">
        <v>501</v>
      </c>
      <c r="D23" s="21"/>
      <c r="E23" s="133" t="s">
        <v>62</v>
      </c>
      <c r="F23" s="278">
        <f>GAS!L29</f>
        <v>65998.72714698002</v>
      </c>
      <c r="G23" s="158"/>
      <c r="H23" s="215"/>
      <c r="I23" s="96">
        <f>GAS!L215</f>
        <v>3290345.321888549</v>
      </c>
      <c r="J23" s="154"/>
      <c r="K23" s="168"/>
      <c r="L23" s="271">
        <f>GAS!L216</f>
        <v>3356343.516035529</v>
      </c>
    </row>
    <row r="24" spans="2:12" ht="19.5" customHeight="1">
      <c r="B24" s="82" t="s">
        <v>502</v>
      </c>
      <c r="D24" s="21"/>
      <c r="E24" s="133" t="s">
        <v>62</v>
      </c>
      <c r="F24" s="281">
        <f>SUM(GAS!L229)</f>
        <v>5113.308035710001</v>
      </c>
      <c r="G24" s="158"/>
      <c r="H24" s="133"/>
      <c r="I24" s="97">
        <v>0</v>
      </c>
      <c r="J24" s="154"/>
      <c r="K24" s="211"/>
      <c r="L24" s="205">
        <f>GAS!L229</f>
        <v>5113.308035710001</v>
      </c>
    </row>
    <row r="25" spans="1:12" s="61" customFormat="1" ht="21.75" thickBot="1">
      <c r="A25" s="122" t="s">
        <v>135</v>
      </c>
      <c r="D25" s="155"/>
      <c r="E25" s="157" t="s">
        <v>62</v>
      </c>
      <c r="F25" s="279">
        <f>SUM(F18:F24)</f>
        <v>515054.92978854</v>
      </c>
      <c r="G25" s="159"/>
      <c r="H25" s="156"/>
      <c r="I25" s="199">
        <f>SUM(I18:I24)</f>
        <v>3290345.321888549</v>
      </c>
      <c r="J25" s="155"/>
      <c r="K25" s="210"/>
      <c r="L25" s="279">
        <f>GAS!L230</f>
        <v>3805399.718677089</v>
      </c>
    </row>
    <row r="26" spans="1:13" s="61" customFormat="1" ht="36.75" customHeight="1" thickTop="1">
      <c r="A26" s="217" t="s">
        <v>891</v>
      </c>
      <c r="B26" s="218"/>
      <c r="C26" s="218"/>
      <c r="D26" s="219"/>
      <c r="E26" s="297" t="s">
        <v>62</v>
      </c>
      <c r="F26" s="282">
        <f>F16+F25</f>
        <v>4527696.71965302</v>
      </c>
      <c r="G26" s="160"/>
      <c r="H26" s="296"/>
      <c r="I26" s="282">
        <f>+I16+I25</f>
        <v>3308799.132328219</v>
      </c>
      <c r="J26" s="346"/>
      <c r="K26" s="167"/>
      <c r="L26" s="282">
        <f>GAS!L231</f>
        <v>7836496.328981239</v>
      </c>
      <c r="M26" s="347"/>
    </row>
    <row r="27" spans="1:13" ht="46.5" customHeight="1">
      <c r="A27" s="433" t="s">
        <v>725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</row>
    <row r="28" spans="1:13" ht="37.5" customHeight="1">
      <c r="A28" s="161"/>
      <c r="B28" s="161"/>
      <c r="C28" s="161"/>
      <c r="D28" s="161"/>
      <c r="E28" s="420" t="s">
        <v>464</v>
      </c>
      <c r="F28" s="421"/>
      <c r="G28" s="421"/>
      <c r="H28" s="426"/>
      <c r="I28" s="426"/>
      <c r="J28" s="427"/>
      <c r="K28" s="200"/>
      <c r="L28" s="200"/>
      <c r="M28" s="100"/>
    </row>
    <row r="29" spans="1:13" ht="20.25">
      <c r="A29" s="423"/>
      <c r="B29" s="423"/>
      <c r="C29" s="423"/>
      <c r="D29" s="419"/>
      <c r="E29" s="417" t="s">
        <v>467</v>
      </c>
      <c r="F29" s="418"/>
      <c r="G29" s="419"/>
      <c r="H29" s="417" t="s">
        <v>465</v>
      </c>
      <c r="I29" s="418"/>
      <c r="J29" s="419"/>
      <c r="K29" s="417" t="s">
        <v>461</v>
      </c>
      <c r="L29" s="425"/>
      <c r="M29" s="425"/>
    </row>
    <row r="30" spans="1:13" ht="20.25">
      <c r="A30" s="174"/>
      <c r="B30" s="174"/>
      <c r="C30" s="174"/>
      <c r="D30" s="175"/>
      <c r="E30" s="420" t="s">
        <v>741</v>
      </c>
      <c r="F30" s="421"/>
      <c r="G30" s="422"/>
      <c r="H30" s="420" t="s">
        <v>466</v>
      </c>
      <c r="I30" s="421"/>
      <c r="J30" s="422"/>
      <c r="K30" s="165"/>
      <c r="L30" s="165"/>
      <c r="M30" s="237"/>
    </row>
    <row r="31" spans="1:13" ht="18">
      <c r="A31" s="82" t="s">
        <v>425</v>
      </c>
      <c r="B31" s="82"/>
      <c r="C31" s="82"/>
      <c r="D31" s="100"/>
      <c r="E31" s="201"/>
      <c r="F31" s="83"/>
      <c r="G31" s="202"/>
      <c r="H31" s="177"/>
      <c r="I31" s="177"/>
      <c r="J31" s="202"/>
      <c r="K31" s="64"/>
      <c r="L31" s="64"/>
      <c r="M31" s="64"/>
    </row>
    <row r="32" spans="1:13" ht="19.5" customHeight="1">
      <c r="A32" s="82"/>
      <c r="B32" s="82" t="s">
        <v>136</v>
      </c>
      <c r="C32" s="82"/>
      <c r="D32" s="100"/>
      <c r="E32" s="176" t="s">
        <v>62</v>
      </c>
      <c r="F32" s="270">
        <f>+F26</f>
        <v>4527696.71965302</v>
      </c>
      <c r="G32" s="178"/>
      <c r="H32" s="177"/>
      <c r="I32" s="270">
        <f>+I26</f>
        <v>3308799.132328219</v>
      </c>
      <c r="J32" s="178"/>
      <c r="K32" s="169"/>
      <c r="L32" s="170">
        <f>+L26</f>
        <v>7836496.328981239</v>
      </c>
      <c r="M32" s="64"/>
    </row>
    <row r="33" spans="1:13" ht="19.5" customHeight="1">
      <c r="A33" s="82"/>
      <c r="B33" s="82" t="s">
        <v>463</v>
      </c>
      <c r="C33" s="82"/>
      <c r="D33" s="100"/>
      <c r="E33" s="176"/>
      <c r="F33" s="271"/>
      <c r="G33" s="178"/>
      <c r="H33" s="177"/>
      <c r="I33" s="271"/>
      <c r="J33" s="178"/>
      <c r="K33" s="82"/>
      <c r="L33" s="170"/>
      <c r="M33" s="64"/>
    </row>
    <row r="34" spans="1:13" ht="19.5" customHeight="1">
      <c r="A34" s="82"/>
      <c r="B34" s="82"/>
      <c r="C34" s="82" t="s">
        <v>266</v>
      </c>
      <c r="D34" s="100"/>
      <c r="E34" s="176" t="s">
        <v>62</v>
      </c>
      <c r="F34" s="271">
        <f>+GAS!L223</f>
        <v>510.07618763</v>
      </c>
      <c r="G34" s="178"/>
      <c r="H34" s="177"/>
      <c r="I34" s="96">
        <v>0</v>
      </c>
      <c r="J34" s="178"/>
      <c r="K34" s="170"/>
      <c r="L34" s="170">
        <f>SUM(GAS!L223)</f>
        <v>510.07618763</v>
      </c>
      <c r="M34" s="64"/>
    </row>
    <row r="35" spans="1:13" ht="19.5" customHeight="1">
      <c r="A35" s="82"/>
      <c r="B35" s="82"/>
      <c r="C35" s="82" t="s">
        <v>72</v>
      </c>
      <c r="D35" s="100"/>
      <c r="E35" s="176" t="s">
        <v>62</v>
      </c>
      <c r="F35" s="271">
        <f>43984.35670765-I35</f>
        <v>30099.833460169997</v>
      </c>
      <c r="G35" s="178"/>
      <c r="H35" s="177"/>
      <c r="I35" s="271">
        <v>13884.52324748</v>
      </c>
      <c r="J35" s="178"/>
      <c r="K35" s="179"/>
      <c r="L35" s="274">
        <f>F35+I35</f>
        <v>43984.35670765</v>
      </c>
      <c r="M35" s="64"/>
    </row>
    <row r="36" spans="3:12" ht="19.5" customHeight="1">
      <c r="C36" s="82" t="s">
        <v>1074</v>
      </c>
      <c r="D36" s="21"/>
      <c r="E36" s="176" t="s">
        <v>62</v>
      </c>
      <c r="F36" s="278">
        <v>0</v>
      </c>
      <c r="G36" s="158"/>
      <c r="H36" s="133"/>
      <c r="I36" s="345">
        <v>14000.01</v>
      </c>
      <c r="J36" s="154"/>
      <c r="K36" s="168"/>
      <c r="L36" s="274">
        <f>F36+I36</f>
        <v>14000.01</v>
      </c>
    </row>
    <row r="37" spans="1:13" ht="19.5" customHeight="1" thickBot="1">
      <c r="A37" s="82"/>
      <c r="B37" s="82" t="s">
        <v>978</v>
      </c>
      <c r="C37" s="82"/>
      <c r="D37" s="100"/>
      <c r="E37" s="176" t="s">
        <v>62</v>
      </c>
      <c r="F37" s="272">
        <f>+F32-F34-F35-F36</f>
        <v>4497086.81000522</v>
      </c>
      <c r="G37" s="178"/>
      <c r="H37" s="177"/>
      <c r="I37" s="272">
        <f>+I32-I34-I36-I35-1</f>
        <v>3280913.599080739</v>
      </c>
      <c r="J37" s="178"/>
      <c r="K37" s="207"/>
      <c r="L37" s="275">
        <f>SUM(L32-L34-L36-L35)-1</f>
        <v>7778000.886085959</v>
      </c>
      <c r="M37" s="64"/>
    </row>
    <row r="38" spans="1:13" ht="36.75" customHeight="1" thickTop="1">
      <c r="A38" s="82"/>
      <c r="B38" s="82" t="s">
        <v>462</v>
      </c>
      <c r="C38" s="82"/>
      <c r="D38" s="100"/>
      <c r="E38" s="176"/>
      <c r="F38" s="271"/>
      <c r="G38" s="178"/>
      <c r="H38" s="177"/>
      <c r="I38" s="271"/>
      <c r="J38" s="178"/>
      <c r="K38" s="177"/>
      <c r="L38" s="234"/>
      <c r="M38" s="64"/>
    </row>
    <row r="39" spans="1:13" ht="21" customHeight="1" thickBot="1">
      <c r="A39" s="82"/>
      <c r="B39" s="82"/>
      <c r="C39" s="82" t="s">
        <v>73</v>
      </c>
      <c r="D39" s="100"/>
      <c r="E39" s="176" t="s">
        <v>62</v>
      </c>
      <c r="F39" s="203">
        <v>127.12244487</v>
      </c>
      <c r="G39" s="178"/>
      <c r="H39" s="177"/>
      <c r="I39" s="203">
        <v>0</v>
      </c>
      <c r="J39" s="178"/>
      <c r="K39" s="208"/>
      <c r="L39" s="172">
        <f>SUM(F39,I39)</f>
        <v>127.12244487</v>
      </c>
      <c r="M39" s="64"/>
    </row>
    <row r="40" spans="1:13" ht="39.75" customHeight="1" thickBot="1" thickTop="1">
      <c r="A40" s="161"/>
      <c r="B40" s="166" t="s">
        <v>978</v>
      </c>
      <c r="C40" s="161"/>
      <c r="D40" s="174"/>
      <c r="E40" s="176" t="s">
        <v>62</v>
      </c>
      <c r="F40" s="273">
        <f>+F37+F39</f>
        <v>4497213.93245009</v>
      </c>
      <c r="G40" s="178"/>
      <c r="H40" s="177"/>
      <c r="I40" s="273">
        <f>+I37+I39</f>
        <v>3280913.599080739</v>
      </c>
      <c r="J40" s="178"/>
      <c r="K40" s="209"/>
      <c r="L40" s="276">
        <f>SUM(L37+L39)</f>
        <v>7778128.008530829</v>
      </c>
      <c r="M40" s="64"/>
    </row>
    <row r="41" spans="1:13" ht="22.5" thickBot="1" thickTop="1">
      <c r="A41" s="64"/>
      <c r="B41" s="82" t="s">
        <v>393</v>
      </c>
      <c r="C41" s="64"/>
      <c r="D41" s="64"/>
      <c r="E41" s="64"/>
      <c r="F41" s="64"/>
      <c r="G41" s="64"/>
      <c r="H41" s="64"/>
      <c r="I41" s="64"/>
      <c r="J41" s="64"/>
      <c r="K41" s="212" t="s">
        <v>62</v>
      </c>
      <c r="L41" s="277">
        <v>8184000</v>
      </c>
      <c r="M41" s="64"/>
    </row>
    <row r="42" spans="1:13" ht="18.75" thickTop="1">
      <c r="A42" s="237"/>
      <c r="B42" s="173" t="s">
        <v>130</v>
      </c>
      <c r="C42" s="237"/>
      <c r="D42" s="237"/>
      <c r="E42" s="237"/>
      <c r="F42" s="237"/>
      <c r="G42" s="237"/>
      <c r="H42" s="237"/>
      <c r="I42" s="237"/>
      <c r="J42" s="237"/>
      <c r="K42" s="213" t="s">
        <v>62</v>
      </c>
      <c r="L42" s="171">
        <f>SUM(L41-L40)</f>
        <v>405871.9914691709</v>
      </c>
      <c r="M42" s="237"/>
    </row>
    <row r="43" spans="1:13" ht="146.25" customHeight="1">
      <c r="A43" s="424" t="s">
        <v>230</v>
      </c>
      <c r="B43" s="425"/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</row>
    <row r="44" spans="1:13" ht="26.25" customHeight="1">
      <c r="A44" s="424" t="s">
        <v>231</v>
      </c>
      <c r="B44" s="425"/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</row>
    <row r="45" spans="1:13" ht="45.75" customHeight="1">
      <c r="A45" s="413" t="s">
        <v>843</v>
      </c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</row>
    <row r="46" spans="1:13" ht="18">
      <c r="A46" s="415" t="s">
        <v>844</v>
      </c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</row>
  </sheetData>
  <mergeCells count="25">
    <mergeCell ref="A6:M6"/>
    <mergeCell ref="A1:M1"/>
    <mergeCell ref="A2:M2"/>
    <mergeCell ref="A3:M3"/>
    <mergeCell ref="A4:M4"/>
    <mergeCell ref="E7:J7"/>
    <mergeCell ref="K8:M8"/>
    <mergeCell ref="A27:M27"/>
    <mergeCell ref="H8:J8"/>
    <mergeCell ref="H9:J9"/>
    <mergeCell ref="A44:M44"/>
    <mergeCell ref="K29:M29"/>
    <mergeCell ref="A43:M43"/>
    <mergeCell ref="E28:J28"/>
    <mergeCell ref="E29:G29"/>
    <mergeCell ref="A45:M45"/>
    <mergeCell ref="A46:M46"/>
    <mergeCell ref="A5:M5"/>
    <mergeCell ref="E8:G8"/>
    <mergeCell ref="E9:G9"/>
    <mergeCell ref="A8:D8"/>
    <mergeCell ref="A29:D29"/>
    <mergeCell ref="H29:J29"/>
    <mergeCell ref="E30:G30"/>
    <mergeCell ref="H30:J30"/>
  </mergeCells>
  <printOptions horizontalCentered="1" verticalCentered="1"/>
  <pageMargins left="0.25" right="0.25" top="0.4" bottom="0.3" header="0" footer="0"/>
  <pageSetup horizontalDpi="600" verticalDpi="600" orientation="portrait" scale="58" r:id="rId2"/>
  <rowBreaks count="1" manualBreakCount="1">
    <brk id="46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332"/>
  <sheetViews>
    <sheetView showGridLines="0" view="pageBreakPreview" zoomScale="75" zoomScaleNormal="75" zoomScaleSheetLayoutView="75" workbookViewId="0" topLeftCell="A1">
      <selection activeCell="C1" sqref="C1"/>
    </sheetView>
  </sheetViews>
  <sheetFormatPr defaultColWidth="9.77734375" defaultRowHeight="15"/>
  <cols>
    <col min="1" max="2" width="2.77734375" style="0" customWidth="1"/>
    <col min="3" max="3" width="12.77734375" style="0" customWidth="1"/>
    <col min="4" max="4" width="7.77734375" style="0" customWidth="1"/>
    <col min="5" max="5" width="8.77734375" style="0" customWidth="1"/>
    <col min="6" max="6" width="4.21484375" style="0" customWidth="1"/>
    <col min="7" max="7" width="11.77734375" style="0" customWidth="1"/>
    <col min="8" max="8" width="10.77734375" style="0" customWidth="1"/>
    <col min="9" max="9" width="9.99609375" style="0" customWidth="1"/>
    <col min="10" max="10" width="2.88671875" style="0" customWidth="1"/>
    <col min="11" max="11" width="11.77734375" style="40" customWidth="1"/>
    <col min="12" max="12" width="12.88671875" style="0" customWidth="1"/>
    <col min="13" max="13" width="5.5546875" style="0" customWidth="1"/>
    <col min="14" max="14" width="14.77734375" style="0" customWidth="1"/>
    <col min="15" max="15" width="6.77734375" style="0" customWidth="1"/>
    <col min="16" max="16" width="12.88671875" style="0" customWidth="1"/>
    <col min="17" max="17" width="5.5546875" style="0" customWidth="1"/>
  </cols>
  <sheetData>
    <row r="1" spans="1:17" s="367" customFormat="1" ht="27.75" customHeight="1" thickBot="1">
      <c r="A1" s="368">
        <v>2</v>
      </c>
      <c r="B1" s="369" t="s">
        <v>726</v>
      </c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1"/>
    </row>
    <row r="2" spans="3:17" ht="30.75" customHeight="1" thickTop="1">
      <c r="C2" s="71"/>
      <c r="G2" s="12" t="s">
        <v>845</v>
      </c>
      <c r="H2" s="12" t="s">
        <v>105</v>
      </c>
      <c r="I2" s="12" t="s">
        <v>104</v>
      </c>
      <c r="J2" s="24"/>
      <c r="K2" s="26" t="s">
        <v>846</v>
      </c>
      <c r="L2" s="12" t="s">
        <v>101</v>
      </c>
      <c r="M2" s="2"/>
      <c r="N2" s="2"/>
      <c r="O2" s="2"/>
      <c r="P2" s="2"/>
      <c r="Q2" s="2"/>
    </row>
    <row r="3" spans="1:12" ht="15.75" customHeight="1">
      <c r="A3" s="2" t="s">
        <v>102</v>
      </c>
      <c r="B3" s="2"/>
      <c r="C3" s="2"/>
      <c r="D3" s="2"/>
      <c r="E3" s="2"/>
      <c r="F3" s="2"/>
      <c r="G3" s="26" t="s">
        <v>103</v>
      </c>
      <c r="H3" s="26"/>
      <c r="I3" s="441"/>
      <c r="J3" s="442"/>
      <c r="K3" s="26" t="s">
        <v>105</v>
      </c>
      <c r="L3" s="10"/>
    </row>
    <row r="4" spans="1:17" ht="16.5" customHeight="1">
      <c r="A4" s="11"/>
      <c r="B4" s="11"/>
      <c r="C4" s="11"/>
      <c r="D4" s="11"/>
      <c r="E4" s="11"/>
      <c r="F4" s="11"/>
      <c r="G4" s="27"/>
      <c r="H4" s="27"/>
      <c r="I4" s="27"/>
      <c r="J4" s="28"/>
      <c r="K4" s="49"/>
      <c r="L4" s="29" t="s">
        <v>106</v>
      </c>
      <c r="M4" s="30"/>
      <c r="N4" s="29" t="s">
        <v>83</v>
      </c>
      <c r="O4" s="30"/>
      <c r="P4" s="29" t="s">
        <v>65</v>
      </c>
      <c r="Q4" s="30"/>
    </row>
    <row r="5" spans="1:17" ht="33.75" customHeight="1">
      <c r="A5" s="19" t="s">
        <v>66</v>
      </c>
      <c r="B5" s="19"/>
      <c r="C5" s="18"/>
      <c r="G5" s="14"/>
      <c r="H5" s="14"/>
      <c r="I5" s="14"/>
      <c r="J5" s="31"/>
      <c r="K5" s="54"/>
      <c r="L5" s="32"/>
      <c r="M5" s="17"/>
      <c r="N5" s="10"/>
      <c r="P5" s="32"/>
      <c r="Q5" s="33"/>
    </row>
    <row r="6" spans="2:17" ht="19.5">
      <c r="B6" s="6" t="s">
        <v>85</v>
      </c>
      <c r="F6" s="123" t="s">
        <v>394</v>
      </c>
      <c r="G6" s="14"/>
      <c r="H6" s="14"/>
      <c r="I6" s="14"/>
      <c r="J6" s="31"/>
      <c r="K6" s="54"/>
      <c r="L6" s="10"/>
      <c r="N6" s="10"/>
      <c r="P6" s="39"/>
      <c r="Q6" s="17"/>
    </row>
    <row r="7" spans="2:17" ht="17.25" customHeight="1">
      <c r="B7" s="6" t="s">
        <v>86</v>
      </c>
      <c r="E7" s="6" t="s">
        <v>87</v>
      </c>
      <c r="F7" s="6"/>
      <c r="G7" s="14"/>
      <c r="H7" s="14"/>
      <c r="I7" s="14"/>
      <c r="J7" s="31"/>
      <c r="K7" s="54"/>
      <c r="L7" s="10"/>
      <c r="N7" s="10"/>
      <c r="P7" s="39"/>
      <c r="Q7" s="17"/>
    </row>
    <row r="8" spans="3:17" ht="15" customHeight="1">
      <c r="C8" s="6" t="s">
        <v>786</v>
      </c>
      <c r="D8" s="36"/>
      <c r="E8" s="102">
        <v>2.56</v>
      </c>
      <c r="F8" s="50"/>
      <c r="G8" s="42">
        <v>38358</v>
      </c>
      <c r="H8" s="101">
        <v>38540</v>
      </c>
      <c r="I8" s="101"/>
      <c r="J8" s="294"/>
      <c r="K8" s="38">
        <v>38540</v>
      </c>
      <c r="L8" s="32">
        <v>23182.375</v>
      </c>
      <c r="M8" s="17"/>
      <c r="N8" s="41">
        <v>0</v>
      </c>
      <c r="O8" s="22"/>
      <c r="P8" s="32">
        <f>L8+L9+L10</f>
        <v>65225.761</v>
      </c>
      <c r="Q8" s="17"/>
    </row>
    <row r="9" spans="3:17" ht="15" customHeight="1">
      <c r="C9" s="6"/>
      <c r="D9" s="36"/>
      <c r="E9" s="102">
        <v>2.735</v>
      </c>
      <c r="F9" s="50"/>
      <c r="G9" s="42">
        <v>38449</v>
      </c>
      <c r="H9" s="101"/>
      <c r="I9" s="101"/>
      <c r="J9" s="294"/>
      <c r="K9" s="38"/>
      <c r="L9" s="32">
        <v>24606.235</v>
      </c>
      <c r="M9" s="17"/>
      <c r="N9" s="41"/>
      <c r="O9" s="22"/>
      <c r="P9" s="32"/>
      <c r="Q9" s="17"/>
    </row>
    <row r="10" spans="3:17" ht="15" customHeight="1">
      <c r="C10" s="6"/>
      <c r="D10" s="36"/>
      <c r="E10" s="102">
        <v>2.775</v>
      </c>
      <c r="F10" s="50"/>
      <c r="G10" s="42">
        <v>38512</v>
      </c>
      <c r="H10" s="101"/>
      <c r="I10" s="101"/>
      <c r="J10" s="294"/>
      <c r="K10" s="38"/>
      <c r="L10" s="32">
        <v>17437.151</v>
      </c>
      <c r="M10" s="17"/>
      <c r="N10" s="41"/>
      <c r="O10" s="22"/>
      <c r="P10" s="32"/>
      <c r="Q10" s="17"/>
    </row>
    <row r="11" spans="3:17" ht="15" customHeight="1">
      <c r="C11" s="6" t="s">
        <v>787</v>
      </c>
      <c r="D11" s="36"/>
      <c r="E11" s="102">
        <v>2.6</v>
      </c>
      <c r="F11" s="50"/>
      <c r="G11" s="42">
        <v>38365</v>
      </c>
      <c r="H11" s="101">
        <v>38547</v>
      </c>
      <c r="I11" s="101"/>
      <c r="J11" s="294"/>
      <c r="K11" s="38">
        <v>38547</v>
      </c>
      <c r="L11" s="32">
        <v>21805.661</v>
      </c>
      <c r="M11" s="17"/>
      <c r="N11" s="41">
        <v>0</v>
      </c>
      <c r="O11" s="22"/>
      <c r="P11" s="32">
        <f>L11+L12+L13</f>
        <v>57273.72</v>
      </c>
      <c r="Q11" s="17"/>
    </row>
    <row r="12" spans="3:17" ht="15" customHeight="1">
      <c r="C12" s="6"/>
      <c r="D12" s="36"/>
      <c r="E12" s="102">
        <v>2.71</v>
      </c>
      <c r="F12" s="50"/>
      <c r="G12" s="42">
        <v>38456</v>
      </c>
      <c r="H12" s="101"/>
      <c r="I12" s="101"/>
      <c r="J12" s="294"/>
      <c r="K12" s="38"/>
      <c r="L12" s="32">
        <v>23329.154</v>
      </c>
      <c r="M12" s="17"/>
      <c r="N12" s="41"/>
      <c r="O12" s="22"/>
      <c r="P12" s="32"/>
      <c r="Q12" s="17"/>
    </row>
    <row r="13" spans="3:17" ht="15" customHeight="1">
      <c r="C13" s="6"/>
      <c r="D13" s="36"/>
      <c r="E13" s="102">
        <v>2.735</v>
      </c>
      <c r="F13" s="50"/>
      <c r="G13" s="42">
        <v>38519</v>
      </c>
      <c r="H13" s="101"/>
      <c r="I13" s="101"/>
      <c r="J13" s="294"/>
      <c r="K13" s="38"/>
      <c r="L13" s="32">
        <v>12138.905</v>
      </c>
      <c r="M13" s="17"/>
      <c r="N13" s="41"/>
      <c r="O13" s="22"/>
      <c r="P13" s="32"/>
      <c r="Q13" s="17"/>
    </row>
    <row r="14" spans="3:17" ht="15" customHeight="1">
      <c r="C14" s="6" t="s">
        <v>788</v>
      </c>
      <c r="D14" s="36"/>
      <c r="E14" s="102">
        <v>2.635</v>
      </c>
      <c r="F14" s="50"/>
      <c r="G14" s="42">
        <v>38372</v>
      </c>
      <c r="H14" s="101">
        <v>38554</v>
      </c>
      <c r="I14" s="101"/>
      <c r="J14" s="294"/>
      <c r="K14" s="38">
        <v>38554</v>
      </c>
      <c r="L14" s="32">
        <v>22077.635</v>
      </c>
      <c r="M14" s="17"/>
      <c r="N14" s="41">
        <v>0</v>
      </c>
      <c r="O14" s="22"/>
      <c r="P14" s="32">
        <f>L14+L15+L16</f>
        <v>56340.428</v>
      </c>
      <c r="Q14" s="17"/>
    </row>
    <row r="15" spans="3:17" ht="15" customHeight="1">
      <c r="C15" s="6"/>
      <c r="D15" s="36"/>
      <c r="E15" s="102">
        <v>2.805</v>
      </c>
      <c r="F15" s="50"/>
      <c r="G15" s="42">
        <v>38463</v>
      </c>
      <c r="H15" s="101"/>
      <c r="I15" s="101"/>
      <c r="J15" s="294"/>
      <c r="K15" s="38"/>
      <c r="L15" s="32">
        <v>22294.128</v>
      </c>
      <c r="M15" s="17"/>
      <c r="N15" s="41"/>
      <c r="O15" s="22"/>
      <c r="P15" s="32"/>
      <c r="Q15" s="17"/>
    </row>
    <row r="16" spans="3:17" ht="15" customHeight="1">
      <c r="C16" s="6"/>
      <c r="D16" s="36"/>
      <c r="E16" s="102">
        <v>2.78</v>
      </c>
      <c r="F16" s="50"/>
      <c r="G16" s="42">
        <v>38526</v>
      </c>
      <c r="H16" s="101"/>
      <c r="I16" s="101"/>
      <c r="J16" s="294"/>
      <c r="K16" s="38"/>
      <c r="L16" s="32">
        <v>11968.665</v>
      </c>
      <c r="M16" s="17"/>
      <c r="N16" s="41"/>
      <c r="O16" s="22"/>
      <c r="P16" s="32"/>
      <c r="Q16" s="17"/>
    </row>
    <row r="17" spans="3:17" ht="15" customHeight="1">
      <c r="C17" s="6" t="s">
        <v>789</v>
      </c>
      <c r="D17" s="36"/>
      <c r="E17" s="102">
        <v>2.61</v>
      </c>
      <c r="F17" s="50"/>
      <c r="G17" s="42">
        <v>38379</v>
      </c>
      <c r="H17" s="101">
        <v>38561</v>
      </c>
      <c r="I17" s="101"/>
      <c r="J17" s="294"/>
      <c r="K17" s="38">
        <v>38561</v>
      </c>
      <c r="L17" s="32">
        <v>21799.813</v>
      </c>
      <c r="M17" s="17"/>
      <c r="N17" s="41">
        <v>0</v>
      </c>
      <c r="O17" s="22"/>
      <c r="P17" s="32">
        <f>L17+L18+L19</f>
        <v>56798.44</v>
      </c>
      <c r="Q17" s="17"/>
    </row>
    <row r="18" spans="3:17" ht="15" customHeight="1">
      <c r="C18" s="6"/>
      <c r="D18" s="36"/>
      <c r="E18" s="102">
        <v>2.88</v>
      </c>
      <c r="F18" s="50"/>
      <c r="G18" s="42">
        <v>38470</v>
      </c>
      <c r="H18" s="101"/>
      <c r="I18" s="101"/>
      <c r="J18" s="294"/>
      <c r="K18" s="38"/>
      <c r="L18" s="32">
        <v>22446.911</v>
      </c>
      <c r="M18" s="17"/>
      <c r="N18" s="41"/>
      <c r="O18" s="22"/>
      <c r="P18" s="32"/>
      <c r="Q18" s="17"/>
    </row>
    <row r="19" spans="3:17" ht="15" customHeight="1">
      <c r="C19" s="6"/>
      <c r="D19" s="36"/>
      <c r="E19" s="102">
        <v>2.925</v>
      </c>
      <c r="F19" s="50"/>
      <c r="G19" s="42">
        <v>38533</v>
      </c>
      <c r="H19" s="101"/>
      <c r="I19" s="101"/>
      <c r="J19" s="294"/>
      <c r="K19" s="38"/>
      <c r="L19" s="32">
        <v>12551.716</v>
      </c>
      <c r="M19" s="17"/>
      <c r="N19" s="41"/>
      <c r="O19" s="22"/>
      <c r="P19" s="32"/>
      <c r="Q19" s="17"/>
    </row>
    <row r="20" spans="3:17" ht="15" customHeight="1">
      <c r="C20" s="6" t="s">
        <v>790</v>
      </c>
      <c r="D20" s="36"/>
      <c r="E20" s="102">
        <v>2.71</v>
      </c>
      <c r="F20" s="50"/>
      <c r="G20" s="42">
        <v>38386</v>
      </c>
      <c r="H20" s="101">
        <v>38568</v>
      </c>
      <c r="I20" s="101"/>
      <c r="J20" s="294"/>
      <c r="K20" s="38">
        <v>38568</v>
      </c>
      <c r="L20" s="32">
        <v>23203.915</v>
      </c>
      <c r="M20" s="17"/>
      <c r="N20" s="41">
        <v>0</v>
      </c>
      <c r="O20" s="22"/>
      <c r="P20" s="32">
        <f>L20+L21</f>
        <v>44851.328</v>
      </c>
      <c r="Q20" s="17"/>
    </row>
    <row r="21" spans="3:17" ht="15" customHeight="1">
      <c r="C21" s="6"/>
      <c r="D21" s="36"/>
      <c r="E21" s="102">
        <v>2.87</v>
      </c>
      <c r="F21" s="50"/>
      <c r="G21" s="42">
        <v>38477</v>
      </c>
      <c r="H21" s="101"/>
      <c r="I21" s="101"/>
      <c r="J21" s="294"/>
      <c r="K21" s="38"/>
      <c r="L21" s="32">
        <v>21647.413</v>
      </c>
      <c r="M21" s="17"/>
      <c r="N21" s="41"/>
      <c r="O21" s="22"/>
      <c r="P21" s="32"/>
      <c r="Q21" s="17"/>
    </row>
    <row r="22" spans="3:17" ht="15" customHeight="1">
      <c r="C22" s="6" t="s">
        <v>318</v>
      </c>
      <c r="D22" s="36"/>
      <c r="E22" s="102">
        <v>2.71</v>
      </c>
      <c r="F22" s="50"/>
      <c r="G22" s="42">
        <v>38393</v>
      </c>
      <c r="H22" s="101">
        <v>38575</v>
      </c>
      <c r="I22" s="101"/>
      <c r="J22" s="294"/>
      <c r="K22" s="38">
        <v>38575</v>
      </c>
      <c r="L22" s="32">
        <v>23193.489</v>
      </c>
      <c r="M22" s="17"/>
      <c r="N22" s="41">
        <v>0</v>
      </c>
      <c r="O22" s="22"/>
      <c r="P22" s="32">
        <f>L22+L23</f>
        <v>44972.543000000005</v>
      </c>
      <c r="Q22" s="17"/>
    </row>
    <row r="23" spans="3:17" ht="15" customHeight="1">
      <c r="C23" s="6"/>
      <c r="D23" s="36"/>
      <c r="E23" s="102">
        <v>2.85</v>
      </c>
      <c r="F23" s="50"/>
      <c r="G23" s="42">
        <v>38484</v>
      </c>
      <c r="H23" s="101"/>
      <c r="I23" s="101"/>
      <c r="J23" s="294"/>
      <c r="K23" s="38"/>
      <c r="L23" s="32">
        <v>21779.054</v>
      </c>
      <c r="M23" s="17"/>
      <c r="N23" s="41"/>
      <c r="O23" s="22"/>
      <c r="P23" s="32"/>
      <c r="Q23" s="17"/>
    </row>
    <row r="24" spans="3:17" ht="15" customHeight="1">
      <c r="C24" s="6" t="s">
        <v>791</v>
      </c>
      <c r="D24" s="36"/>
      <c r="E24" s="102">
        <v>2.76</v>
      </c>
      <c r="F24" s="50"/>
      <c r="G24" s="42">
        <v>38400</v>
      </c>
      <c r="H24" s="101">
        <v>38582</v>
      </c>
      <c r="I24" s="101"/>
      <c r="J24" s="294"/>
      <c r="K24" s="38">
        <v>38579</v>
      </c>
      <c r="L24" s="32">
        <v>23209.388</v>
      </c>
      <c r="M24" s="17"/>
      <c r="N24" s="41">
        <v>0</v>
      </c>
      <c r="O24" s="22"/>
      <c r="P24" s="32">
        <f>L24+L25</f>
        <v>46079.104</v>
      </c>
      <c r="Q24" s="17"/>
    </row>
    <row r="25" spans="3:17" ht="15" customHeight="1">
      <c r="C25" s="6"/>
      <c r="D25" s="36"/>
      <c r="E25" s="102">
        <v>2.8</v>
      </c>
      <c r="F25" s="50"/>
      <c r="G25" s="42">
        <v>38491</v>
      </c>
      <c r="H25" s="101"/>
      <c r="I25" s="101"/>
      <c r="J25" s="294"/>
      <c r="K25" s="38"/>
      <c r="L25" s="32">
        <v>22869.716</v>
      </c>
      <c r="M25" s="17"/>
      <c r="N25" s="41"/>
      <c r="O25" s="22"/>
      <c r="P25" s="32"/>
      <c r="Q25" s="17"/>
    </row>
    <row r="26" spans="3:17" ht="15" customHeight="1">
      <c r="C26" s="6" t="s">
        <v>792</v>
      </c>
      <c r="D26" s="36"/>
      <c r="E26" s="102">
        <v>2.85</v>
      </c>
      <c r="F26" s="50"/>
      <c r="G26" s="42">
        <v>38407</v>
      </c>
      <c r="H26" s="101">
        <v>38589</v>
      </c>
      <c r="I26" s="101"/>
      <c r="J26" s="294"/>
      <c r="K26" s="38">
        <v>38589</v>
      </c>
      <c r="L26" s="32">
        <v>24230.129</v>
      </c>
      <c r="M26" s="17"/>
      <c r="N26" s="41">
        <v>0</v>
      </c>
      <c r="O26" s="22"/>
      <c r="P26" s="32">
        <f>L26+L27</f>
        <v>48534.828</v>
      </c>
      <c r="Q26" s="17"/>
    </row>
    <row r="27" spans="3:17" ht="15" customHeight="1">
      <c r="C27" s="6"/>
      <c r="D27" s="36"/>
      <c r="E27" s="102">
        <v>2.895</v>
      </c>
      <c r="F27" s="50"/>
      <c r="G27" s="42">
        <v>38498</v>
      </c>
      <c r="H27" s="101"/>
      <c r="I27" s="101"/>
      <c r="J27" s="294"/>
      <c r="K27" s="38"/>
      <c r="L27" s="32">
        <v>24304.699</v>
      </c>
      <c r="M27" s="17"/>
      <c r="N27" s="41"/>
      <c r="O27" s="22"/>
      <c r="P27" s="32"/>
      <c r="Q27" s="17"/>
    </row>
    <row r="28" spans="3:17" ht="15" customHeight="1">
      <c r="C28" s="6" t="s">
        <v>408</v>
      </c>
      <c r="D28" s="36"/>
      <c r="E28" s="102">
        <v>2.925</v>
      </c>
      <c r="F28" s="50"/>
      <c r="G28" s="42">
        <v>38414</v>
      </c>
      <c r="H28" s="101">
        <v>38596</v>
      </c>
      <c r="I28" s="101"/>
      <c r="J28" s="294"/>
      <c r="K28" s="38">
        <v>38596</v>
      </c>
      <c r="L28" s="32">
        <v>24253.995</v>
      </c>
      <c r="M28" s="17"/>
      <c r="N28" s="41">
        <v>0</v>
      </c>
      <c r="O28" s="22"/>
      <c r="P28" s="32">
        <f>L28+L29</f>
        <v>48989.778</v>
      </c>
      <c r="Q28" s="17"/>
    </row>
    <row r="29" spans="3:17" ht="15" customHeight="1">
      <c r="C29" s="6"/>
      <c r="D29" s="36"/>
      <c r="E29" s="102">
        <v>2.935</v>
      </c>
      <c r="F29" s="50"/>
      <c r="G29" s="42">
        <v>38505</v>
      </c>
      <c r="H29" s="101"/>
      <c r="I29" s="101"/>
      <c r="J29" s="294"/>
      <c r="K29" s="38"/>
      <c r="L29" s="32">
        <v>24735.783</v>
      </c>
      <c r="M29" s="17"/>
      <c r="N29" s="41"/>
      <c r="O29" s="22"/>
      <c r="P29" s="32"/>
      <c r="Q29" s="17"/>
    </row>
    <row r="30" spans="3:17" ht="15" customHeight="1">
      <c r="C30" s="6" t="s">
        <v>407</v>
      </c>
      <c r="D30" s="36"/>
      <c r="E30" s="102">
        <v>2.935</v>
      </c>
      <c r="F30" s="50"/>
      <c r="G30" s="42">
        <v>38421</v>
      </c>
      <c r="H30" s="101">
        <v>38603</v>
      </c>
      <c r="I30" s="101"/>
      <c r="J30" s="294"/>
      <c r="K30" s="38">
        <v>38603</v>
      </c>
      <c r="L30" s="32">
        <v>24367.941</v>
      </c>
      <c r="M30" s="17"/>
      <c r="N30" s="41">
        <v>0</v>
      </c>
      <c r="O30" s="22"/>
      <c r="P30" s="32">
        <f>L30+L31</f>
        <v>49429.755</v>
      </c>
      <c r="Q30" s="17"/>
    </row>
    <row r="31" spans="3:17" ht="15" customHeight="1">
      <c r="C31" s="6"/>
      <c r="D31" s="36"/>
      <c r="E31" s="102">
        <v>2.965</v>
      </c>
      <c r="F31" s="50"/>
      <c r="G31" s="42">
        <v>38512</v>
      </c>
      <c r="H31" s="101"/>
      <c r="I31" s="101"/>
      <c r="J31" s="294"/>
      <c r="K31" s="38"/>
      <c r="L31" s="32">
        <v>25061.814</v>
      </c>
      <c r="M31" s="17"/>
      <c r="N31" s="41"/>
      <c r="O31" s="22"/>
      <c r="P31" s="32"/>
      <c r="Q31" s="17"/>
    </row>
    <row r="32" spans="3:17" ht="15" customHeight="1">
      <c r="C32" s="6" t="s">
        <v>406</v>
      </c>
      <c r="D32" s="36"/>
      <c r="E32" s="102">
        <v>3</v>
      </c>
      <c r="F32" s="50"/>
      <c r="G32" s="42">
        <v>38428</v>
      </c>
      <c r="H32" s="101">
        <v>38610</v>
      </c>
      <c r="I32" s="101"/>
      <c r="J32" s="294"/>
      <c r="K32" s="38">
        <v>38610</v>
      </c>
      <c r="L32" s="32">
        <v>24208.596</v>
      </c>
      <c r="M32" s="17"/>
      <c r="N32" s="41">
        <v>0</v>
      </c>
      <c r="O32" s="22"/>
      <c r="P32" s="32">
        <f>L32+L33</f>
        <v>49179.005000000005</v>
      </c>
      <c r="Q32" s="17"/>
    </row>
    <row r="33" spans="3:17" ht="15" customHeight="1">
      <c r="C33" s="6"/>
      <c r="D33" s="36"/>
      <c r="E33" s="102">
        <v>2.975</v>
      </c>
      <c r="F33" s="50"/>
      <c r="G33" s="42">
        <v>38519</v>
      </c>
      <c r="H33" s="101"/>
      <c r="I33" s="101"/>
      <c r="J33" s="294"/>
      <c r="K33" s="38"/>
      <c r="L33" s="32">
        <v>24970.409</v>
      </c>
      <c r="M33" s="17"/>
      <c r="N33" s="41"/>
      <c r="O33" s="22"/>
      <c r="P33" s="32"/>
      <c r="Q33" s="17"/>
    </row>
    <row r="34" spans="3:17" ht="15" customHeight="1">
      <c r="C34" s="6" t="s">
        <v>405</v>
      </c>
      <c r="D34" s="36"/>
      <c r="E34" s="102">
        <v>3.035</v>
      </c>
      <c r="F34" s="50"/>
      <c r="G34" s="42">
        <v>38435</v>
      </c>
      <c r="H34" s="101">
        <v>38617</v>
      </c>
      <c r="I34" s="101"/>
      <c r="J34" s="294"/>
      <c r="K34" s="38">
        <v>38617</v>
      </c>
      <c r="L34" s="32">
        <v>24278.324</v>
      </c>
      <c r="M34" s="17"/>
      <c r="N34" s="41">
        <v>0</v>
      </c>
      <c r="O34" s="22"/>
      <c r="P34" s="32">
        <f>L34+L35</f>
        <v>48226.723</v>
      </c>
      <c r="Q34" s="17"/>
    </row>
    <row r="35" spans="3:17" ht="15" customHeight="1">
      <c r="C35" s="6"/>
      <c r="D35" s="36"/>
      <c r="E35" s="102">
        <v>2.965</v>
      </c>
      <c r="F35" s="50"/>
      <c r="G35" s="42">
        <v>38526</v>
      </c>
      <c r="H35" s="101"/>
      <c r="I35" s="101"/>
      <c r="J35" s="294"/>
      <c r="K35" s="38"/>
      <c r="L35" s="32">
        <v>23948.399</v>
      </c>
      <c r="M35" s="17"/>
      <c r="N35" s="41"/>
      <c r="O35" s="22"/>
      <c r="P35" s="32"/>
      <c r="Q35" s="17"/>
    </row>
    <row r="36" spans="3:17" ht="15" customHeight="1">
      <c r="C36" s="6" t="s">
        <v>404</v>
      </c>
      <c r="D36" s="36"/>
      <c r="E36" s="102">
        <v>3.09</v>
      </c>
      <c r="F36" s="50"/>
      <c r="G36" s="42">
        <v>38442</v>
      </c>
      <c r="H36" s="101">
        <v>38624</v>
      </c>
      <c r="I36" s="101"/>
      <c r="J36" s="294"/>
      <c r="K36" s="38">
        <v>38624</v>
      </c>
      <c r="L36" s="32">
        <v>23019.488</v>
      </c>
      <c r="M36" s="17"/>
      <c r="N36" s="41">
        <v>0</v>
      </c>
      <c r="O36" s="22"/>
      <c r="P36" s="32">
        <f>L36+L37</f>
        <v>46640.130000000005</v>
      </c>
      <c r="Q36" s="17"/>
    </row>
    <row r="37" spans="3:17" ht="15" customHeight="1">
      <c r="C37" s="6"/>
      <c r="D37" s="36"/>
      <c r="E37" s="102">
        <v>3.08</v>
      </c>
      <c r="F37" s="50"/>
      <c r="G37" s="42">
        <v>38533</v>
      </c>
      <c r="H37" s="101"/>
      <c r="I37" s="101"/>
      <c r="J37" s="294"/>
      <c r="K37" s="38"/>
      <c r="L37" s="32">
        <v>23620.642</v>
      </c>
      <c r="M37" s="17"/>
      <c r="N37" s="41"/>
      <c r="O37" s="22"/>
      <c r="P37" s="32"/>
      <c r="Q37" s="17"/>
    </row>
    <row r="38" spans="3:17" ht="15" customHeight="1">
      <c r="C38" s="6" t="s">
        <v>542</v>
      </c>
      <c r="D38" s="36"/>
      <c r="E38" s="102">
        <v>3.035</v>
      </c>
      <c r="F38" s="50"/>
      <c r="G38" s="42">
        <v>38449</v>
      </c>
      <c r="H38" s="101">
        <v>38631</v>
      </c>
      <c r="I38" s="101"/>
      <c r="J38" s="294"/>
      <c r="K38" s="38">
        <v>38631</v>
      </c>
      <c r="L38" s="32">
        <v>21841.619</v>
      </c>
      <c r="M38" s="17"/>
      <c r="N38" s="41">
        <v>0</v>
      </c>
      <c r="O38" s="22"/>
      <c r="P38" s="32">
        <f aca="true" t="shared" si="0" ref="P38:P44">L38</f>
        <v>21841.619</v>
      </c>
      <c r="Q38" s="17"/>
    </row>
    <row r="39" spans="3:17" ht="15" customHeight="1">
      <c r="C39" s="6" t="s">
        <v>543</v>
      </c>
      <c r="D39" s="36"/>
      <c r="E39" s="102">
        <v>3.065</v>
      </c>
      <c r="F39" s="50"/>
      <c r="G39" s="42">
        <v>38456</v>
      </c>
      <c r="H39" s="101">
        <v>38638</v>
      </c>
      <c r="I39" s="101"/>
      <c r="J39" s="294"/>
      <c r="K39" s="38">
        <v>38638</v>
      </c>
      <c r="L39" s="32">
        <v>20517.964</v>
      </c>
      <c r="M39" s="17"/>
      <c r="N39" s="41">
        <v>0</v>
      </c>
      <c r="O39" s="22"/>
      <c r="P39" s="32">
        <f t="shared" si="0"/>
        <v>20517.964</v>
      </c>
      <c r="Q39" s="17"/>
    </row>
    <row r="40" spans="3:17" ht="15" customHeight="1">
      <c r="C40" s="6" t="s">
        <v>544</v>
      </c>
      <c r="D40" s="36"/>
      <c r="E40" s="102">
        <v>3.04</v>
      </c>
      <c r="F40" s="50"/>
      <c r="G40" s="42">
        <v>38463</v>
      </c>
      <c r="H40" s="101">
        <v>38645</v>
      </c>
      <c r="I40" s="101"/>
      <c r="J40" s="294"/>
      <c r="K40" s="38">
        <v>38645</v>
      </c>
      <c r="L40" s="32">
        <v>19411.335</v>
      </c>
      <c r="M40" s="17"/>
      <c r="N40" s="41">
        <v>0</v>
      </c>
      <c r="O40" s="22"/>
      <c r="P40" s="32">
        <f t="shared" si="0"/>
        <v>19411.335</v>
      </c>
      <c r="Q40" s="17"/>
    </row>
    <row r="41" spans="3:17" ht="15" customHeight="1">
      <c r="C41" s="6" t="s">
        <v>545</v>
      </c>
      <c r="D41" s="36"/>
      <c r="E41" s="102">
        <v>3.09</v>
      </c>
      <c r="F41" s="50"/>
      <c r="G41" s="42">
        <v>38470</v>
      </c>
      <c r="H41" s="101">
        <v>38652</v>
      </c>
      <c r="I41" s="101"/>
      <c r="J41" s="294"/>
      <c r="K41" s="38">
        <v>38652</v>
      </c>
      <c r="L41" s="32">
        <v>19354.698</v>
      </c>
      <c r="M41" s="17"/>
      <c r="N41" s="41">
        <v>0</v>
      </c>
      <c r="O41" s="22"/>
      <c r="P41" s="32">
        <f t="shared" si="0"/>
        <v>19354.698</v>
      </c>
      <c r="Q41" s="17"/>
    </row>
    <row r="42" spans="3:17" ht="15" customHeight="1">
      <c r="C42" s="6" t="s">
        <v>271</v>
      </c>
      <c r="D42" s="36"/>
      <c r="E42" s="102">
        <v>3.085</v>
      </c>
      <c r="F42" s="50"/>
      <c r="G42" s="42">
        <v>38477</v>
      </c>
      <c r="H42" s="101">
        <v>38659</v>
      </c>
      <c r="I42" s="101"/>
      <c r="J42" s="294"/>
      <c r="K42" s="38">
        <v>38659</v>
      </c>
      <c r="L42" s="32">
        <v>18217.922</v>
      </c>
      <c r="M42" s="17"/>
      <c r="N42" s="41">
        <v>0</v>
      </c>
      <c r="O42" s="22"/>
      <c r="P42" s="32">
        <f t="shared" si="0"/>
        <v>18217.922</v>
      </c>
      <c r="Q42" s="17"/>
    </row>
    <row r="43" spans="3:17" ht="15" customHeight="1">
      <c r="C43" s="6" t="s">
        <v>272</v>
      </c>
      <c r="D43" s="36"/>
      <c r="E43" s="102">
        <v>3.12</v>
      </c>
      <c r="F43" s="50"/>
      <c r="G43" s="42">
        <v>38484</v>
      </c>
      <c r="H43" s="101">
        <v>38666</v>
      </c>
      <c r="I43" s="101"/>
      <c r="J43" s="294"/>
      <c r="K43" s="38">
        <v>38666</v>
      </c>
      <c r="L43" s="32">
        <v>18285.258</v>
      </c>
      <c r="M43" s="17"/>
      <c r="N43" s="41">
        <v>0</v>
      </c>
      <c r="O43" s="22"/>
      <c r="P43" s="32">
        <f t="shared" si="0"/>
        <v>18285.258</v>
      </c>
      <c r="Q43" s="17"/>
    </row>
    <row r="44" spans="3:17" ht="15" customHeight="1">
      <c r="C44" s="6" t="s">
        <v>273</v>
      </c>
      <c r="D44" s="36"/>
      <c r="E44" s="102">
        <v>3.07</v>
      </c>
      <c r="F44" s="50"/>
      <c r="G44" s="42">
        <v>38491</v>
      </c>
      <c r="H44" s="101">
        <v>38673</v>
      </c>
      <c r="I44" s="101"/>
      <c r="J44" s="294"/>
      <c r="K44" s="38">
        <v>38673</v>
      </c>
      <c r="L44" s="32">
        <v>19542.723</v>
      </c>
      <c r="M44" s="17"/>
      <c r="N44" s="41">
        <v>0</v>
      </c>
      <c r="O44" s="22"/>
      <c r="P44" s="32">
        <f t="shared" si="0"/>
        <v>19542.723</v>
      </c>
      <c r="Q44" s="17"/>
    </row>
    <row r="45" spans="3:17" ht="15" customHeight="1">
      <c r="C45" s="6" t="s">
        <v>274</v>
      </c>
      <c r="D45" s="36"/>
      <c r="E45" s="102">
        <v>3.11</v>
      </c>
      <c r="F45" s="50"/>
      <c r="G45" s="42">
        <v>38498</v>
      </c>
      <c r="H45" s="101">
        <v>38681</v>
      </c>
      <c r="I45" s="101"/>
      <c r="J45" s="294"/>
      <c r="K45" s="38">
        <v>38681</v>
      </c>
      <c r="L45" s="32">
        <v>20796.451</v>
      </c>
      <c r="M45" s="17"/>
      <c r="N45" s="41">
        <v>0</v>
      </c>
      <c r="O45" s="22"/>
      <c r="P45" s="32">
        <f aca="true" t="shared" si="1" ref="P45:P50">L45</f>
        <v>20796.451</v>
      </c>
      <c r="Q45" s="17"/>
    </row>
    <row r="46" spans="3:17" ht="15" customHeight="1">
      <c r="C46" s="6" t="s">
        <v>17</v>
      </c>
      <c r="D46" s="36"/>
      <c r="E46" s="102">
        <v>3.08</v>
      </c>
      <c r="F46" s="50"/>
      <c r="G46" s="42">
        <v>38505</v>
      </c>
      <c r="H46" s="101">
        <v>38687</v>
      </c>
      <c r="I46" s="101"/>
      <c r="J46" s="294"/>
      <c r="K46" s="38">
        <v>38687</v>
      </c>
      <c r="L46" s="32">
        <v>20995.53</v>
      </c>
      <c r="M46" s="17"/>
      <c r="N46" s="41">
        <v>0</v>
      </c>
      <c r="O46" s="22"/>
      <c r="P46" s="32">
        <f t="shared" si="1"/>
        <v>20995.53</v>
      </c>
      <c r="Q46" s="17"/>
    </row>
    <row r="47" spans="3:17" ht="15" customHeight="1">
      <c r="C47" s="6" t="s">
        <v>18</v>
      </c>
      <c r="D47" s="36"/>
      <c r="E47" s="102">
        <v>3.06</v>
      </c>
      <c r="F47" s="50"/>
      <c r="G47" s="42">
        <v>38512</v>
      </c>
      <c r="H47" s="101">
        <v>38694</v>
      </c>
      <c r="I47" s="101"/>
      <c r="J47" s="294"/>
      <c r="K47" s="38">
        <v>38694</v>
      </c>
      <c r="L47" s="32">
        <v>21181.745</v>
      </c>
      <c r="M47" s="17"/>
      <c r="N47" s="41">
        <v>0</v>
      </c>
      <c r="O47" s="22"/>
      <c r="P47" s="32">
        <f t="shared" si="1"/>
        <v>21181.745</v>
      </c>
      <c r="Q47" s="17"/>
    </row>
    <row r="48" spans="3:17" ht="15" customHeight="1">
      <c r="C48" s="6" t="s">
        <v>19</v>
      </c>
      <c r="D48" s="36"/>
      <c r="E48" s="102">
        <v>3.12</v>
      </c>
      <c r="F48" s="50"/>
      <c r="G48" s="42">
        <v>38519</v>
      </c>
      <c r="H48" s="101">
        <v>38701</v>
      </c>
      <c r="I48" s="101"/>
      <c r="J48" s="294"/>
      <c r="K48" s="38">
        <v>38701</v>
      </c>
      <c r="L48" s="32">
        <v>21072.125</v>
      </c>
      <c r="M48" s="17"/>
      <c r="N48" s="41">
        <v>0</v>
      </c>
      <c r="O48" s="22"/>
      <c r="P48" s="32">
        <f t="shared" si="1"/>
        <v>21072.125</v>
      </c>
      <c r="Q48" s="17"/>
    </row>
    <row r="49" spans="3:17" ht="15" customHeight="1">
      <c r="C49" s="6" t="s">
        <v>21</v>
      </c>
      <c r="D49" s="36"/>
      <c r="E49" s="102">
        <v>3.175</v>
      </c>
      <c r="F49" s="50"/>
      <c r="G49" s="42">
        <v>38526</v>
      </c>
      <c r="H49" s="101">
        <v>38708</v>
      </c>
      <c r="I49" s="101"/>
      <c r="J49" s="294"/>
      <c r="K49" s="38">
        <v>38708</v>
      </c>
      <c r="L49" s="32">
        <v>19857.337</v>
      </c>
      <c r="M49" s="17"/>
      <c r="N49" s="41">
        <v>0</v>
      </c>
      <c r="O49" s="22"/>
      <c r="P49" s="32">
        <f t="shared" si="1"/>
        <v>19857.337</v>
      </c>
      <c r="Q49" s="17"/>
    </row>
    <row r="50" spans="3:17" ht="15" customHeight="1">
      <c r="C50" s="6" t="s">
        <v>22</v>
      </c>
      <c r="D50" s="36"/>
      <c r="E50" s="102">
        <v>3.22</v>
      </c>
      <c r="F50" s="50"/>
      <c r="G50" s="42">
        <v>38533</v>
      </c>
      <c r="H50" s="101">
        <v>38715</v>
      </c>
      <c r="I50" s="101"/>
      <c r="J50" s="294"/>
      <c r="K50" s="38">
        <v>38715</v>
      </c>
      <c r="L50" s="32">
        <v>19786.429</v>
      </c>
      <c r="M50" s="17"/>
      <c r="N50" s="41">
        <v>0</v>
      </c>
      <c r="O50" s="22"/>
      <c r="P50" s="32">
        <f t="shared" si="1"/>
        <v>19786.429</v>
      </c>
      <c r="Q50" s="17"/>
    </row>
    <row r="51" spans="2:17" ht="21" customHeight="1">
      <c r="B51" s="6" t="s">
        <v>98</v>
      </c>
      <c r="G51" s="12" t="s">
        <v>758</v>
      </c>
      <c r="H51" s="38" t="s">
        <v>759</v>
      </c>
      <c r="I51" s="38" t="s">
        <v>759</v>
      </c>
      <c r="J51" s="2"/>
      <c r="K51" s="26" t="s">
        <v>861</v>
      </c>
      <c r="L51" s="46">
        <f>SUM(L8:L50)</f>
        <v>923402.679</v>
      </c>
      <c r="M51" s="180"/>
      <c r="N51" s="46">
        <f>SUM(N7:N26)</f>
        <v>0</v>
      </c>
      <c r="O51" s="181"/>
      <c r="P51" s="46">
        <f>SUM(P8:P50)</f>
        <v>923402.679</v>
      </c>
      <c r="Q51" s="180"/>
    </row>
    <row r="52" spans="2:17" ht="15.75" customHeight="1">
      <c r="B52" t="s">
        <v>99</v>
      </c>
      <c r="G52" s="12" t="s">
        <v>758</v>
      </c>
      <c r="H52" s="38" t="s">
        <v>759</v>
      </c>
      <c r="I52" s="38" t="s">
        <v>759</v>
      </c>
      <c r="J52" s="2"/>
      <c r="K52" s="26" t="s">
        <v>861</v>
      </c>
      <c r="L52" s="182" t="s">
        <v>186</v>
      </c>
      <c r="M52" s="23"/>
      <c r="N52" s="41">
        <v>0</v>
      </c>
      <c r="O52" s="183"/>
      <c r="P52" s="182" t="str">
        <f>L52</f>
        <v>*  </v>
      </c>
      <c r="Q52" s="23"/>
    </row>
    <row r="53" spans="2:17" ht="15.75" customHeight="1" thickBot="1">
      <c r="B53" s="61" t="s">
        <v>503</v>
      </c>
      <c r="G53" s="12" t="s">
        <v>758</v>
      </c>
      <c r="H53" s="38" t="s">
        <v>759</v>
      </c>
      <c r="I53" s="38" t="s">
        <v>759</v>
      </c>
      <c r="J53" s="2"/>
      <c r="K53" s="26" t="s">
        <v>861</v>
      </c>
      <c r="L53" s="184">
        <f>+L51+0.427</f>
        <v>923403.106</v>
      </c>
      <c r="M53" s="185"/>
      <c r="N53" s="184">
        <f>SUM(N51:N52)</f>
        <v>0</v>
      </c>
      <c r="O53" s="187"/>
      <c r="P53" s="184">
        <f>+P51+0.427</f>
        <v>923403.106</v>
      </c>
      <c r="Q53" s="20"/>
    </row>
    <row r="54" spans="2:17" ht="36.75" customHeight="1" thickTop="1">
      <c r="B54" s="6" t="s">
        <v>862</v>
      </c>
      <c r="D54" s="124" t="s">
        <v>371</v>
      </c>
      <c r="F54" s="15"/>
      <c r="G54" s="14"/>
      <c r="H54" s="14"/>
      <c r="I54" s="14"/>
      <c r="J54" s="31"/>
      <c r="K54" s="54"/>
      <c r="L54" s="10"/>
      <c r="N54" s="10"/>
      <c r="P54" s="32"/>
      <c r="Q54" s="17"/>
    </row>
    <row r="55" spans="2:17" ht="17.25" customHeight="1">
      <c r="B55" s="6" t="s">
        <v>86</v>
      </c>
      <c r="D55" s="2" t="s">
        <v>863</v>
      </c>
      <c r="E55" s="2" t="s">
        <v>864</v>
      </c>
      <c r="F55" s="2"/>
      <c r="G55" s="55"/>
      <c r="H55" s="55"/>
      <c r="I55" s="55"/>
      <c r="J55" s="34"/>
      <c r="K55" s="54"/>
      <c r="L55" s="10"/>
      <c r="N55" s="10"/>
      <c r="P55" s="32"/>
      <c r="Q55" s="17"/>
    </row>
    <row r="56" spans="3:17" ht="15.75" customHeight="1">
      <c r="C56" s="6" t="s">
        <v>793</v>
      </c>
      <c r="D56" s="40" t="s">
        <v>1032</v>
      </c>
      <c r="E56" s="353">
        <v>1.5</v>
      </c>
      <c r="F56" s="123"/>
      <c r="G56" s="42">
        <v>37833</v>
      </c>
      <c r="H56" s="42">
        <v>38564</v>
      </c>
      <c r="I56" s="38"/>
      <c r="J56" s="2"/>
      <c r="K56" s="26" t="s">
        <v>870</v>
      </c>
      <c r="L56" s="32">
        <v>29997.026</v>
      </c>
      <c r="M56" s="17"/>
      <c r="N56" s="41">
        <v>0</v>
      </c>
      <c r="O56" s="22"/>
      <c r="P56" s="32">
        <f>L56-N56</f>
        <v>29997.026</v>
      </c>
      <c r="Q56" s="17"/>
    </row>
    <row r="57" spans="3:17" ht="15.75" customHeight="1">
      <c r="C57" s="6" t="s">
        <v>965</v>
      </c>
      <c r="D57" s="40" t="s">
        <v>1037</v>
      </c>
      <c r="E57" s="353">
        <v>6.5</v>
      </c>
      <c r="F57" s="123"/>
      <c r="G57" s="42">
        <v>34926</v>
      </c>
      <c r="H57" s="42">
        <v>38579</v>
      </c>
      <c r="I57" s="38"/>
      <c r="J57" s="2"/>
      <c r="K57" s="26" t="s">
        <v>839</v>
      </c>
      <c r="L57" s="32">
        <v>15002.58</v>
      </c>
      <c r="M57" s="17"/>
      <c r="N57" s="41">
        <v>0</v>
      </c>
      <c r="O57" s="22"/>
      <c r="P57" s="32">
        <f>L57-N57</f>
        <v>15002.58</v>
      </c>
      <c r="Q57" s="17"/>
    </row>
    <row r="58" spans="3:17" ht="15.75" customHeight="1">
      <c r="C58" s="6" t="s">
        <v>960</v>
      </c>
      <c r="D58" s="40" t="s">
        <v>1034</v>
      </c>
      <c r="E58" s="353">
        <v>2</v>
      </c>
      <c r="F58" s="123"/>
      <c r="G58" s="42">
        <v>37866</v>
      </c>
      <c r="H58" s="42">
        <v>38595</v>
      </c>
      <c r="I58" s="38"/>
      <c r="J58" s="2"/>
      <c r="K58" s="26" t="s">
        <v>961</v>
      </c>
      <c r="L58" s="32">
        <v>30592.178</v>
      </c>
      <c r="M58" s="17"/>
      <c r="N58" s="41">
        <v>0</v>
      </c>
      <c r="O58" s="22"/>
      <c r="P58" s="32">
        <f aca="true" t="shared" si="2" ref="P58:P66">L58-N58</f>
        <v>30592.178</v>
      </c>
      <c r="Q58" s="17"/>
    </row>
    <row r="59" spans="3:17" ht="15.75" customHeight="1">
      <c r="C59" s="6" t="s">
        <v>794</v>
      </c>
      <c r="D59" s="40" t="s">
        <v>1036</v>
      </c>
      <c r="E59" s="353">
        <v>1.625</v>
      </c>
      <c r="F59" s="123"/>
      <c r="G59" s="42">
        <v>37894</v>
      </c>
      <c r="H59" s="42">
        <v>38625</v>
      </c>
      <c r="I59" s="38"/>
      <c r="J59" s="2"/>
      <c r="K59" s="26" t="s">
        <v>1025</v>
      </c>
      <c r="L59" s="32">
        <v>31538.969</v>
      </c>
      <c r="M59" s="17"/>
      <c r="N59" s="41">
        <v>0</v>
      </c>
      <c r="O59" s="22"/>
      <c r="P59" s="32">
        <f t="shared" si="2"/>
        <v>31538.969</v>
      </c>
      <c r="Q59" s="17"/>
    </row>
    <row r="60" spans="3:17" ht="15.75" customHeight="1">
      <c r="C60" s="6" t="s">
        <v>795</v>
      </c>
      <c r="D60" s="40" t="s">
        <v>1038</v>
      </c>
      <c r="E60" s="353">
        <v>1.625</v>
      </c>
      <c r="F60" s="123"/>
      <c r="G60" s="42">
        <v>37925</v>
      </c>
      <c r="H60" s="42">
        <v>38656</v>
      </c>
      <c r="I60" s="38"/>
      <c r="J60" s="2"/>
      <c r="K60" s="26" t="s">
        <v>1029</v>
      </c>
      <c r="L60" s="32">
        <v>32368.42</v>
      </c>
      <c r="M60" s="17"/>
      <c r="N60" s="41">
        <v>0</v>
      </c>
      <c r="O60" s="22"/>
      <c r="P60" s="32">
        <f t="shared" si="2"/>
        <v>32368.42</v>
      </c>
      <c r="Q60" s="17"/>
    </row>
    <row r="61" spans="3:17" ht="15.75" customHeight="1">
      <c r="C61" s="6" t="s">
        <v>756</v>
      </c>
      <c r="D61" s="40" t="s">
        <v>1042</v>
      </c>
      <c r="E61" s="353">
        <v>5.875</v>
      </c>
      <c r="F61" s="123"/>
      <c r="G61" s="42">
        <v>35027</v>
      </c>
      <c r="H61" s="42">
        <v>38671</v>
      </c>
      <c r="I61" s="38"/>
      <c r="J61" s="2"/>
      <c r="K61" s="26" t="s">
        <v>1031</v>
      </c>
      <c r="L61" s="32">
        <v>15209.92</v>
      </c>
      <c r="M61" s="17"/>
      <c r="N61" s="41">
        <v>0</v>
      </c>
      <c r="O61" s="22"/>
      <c r="P61" s="32">
        <f t="shared" si="2"/>
        <v>15209.92</v>
      </c>
      <c r="Q61" s="17"/>
    </row>
    <row r="62" spans="3:17" ht="15.75" customHeight="1">
      <c r="C62" s="6" t="s">
        <v>1127</v>
      </c>
      <c r="D62" s="40" t="s">
        <v>1026</v>
      </c>
      <c r="E62" s="353">
        <v>5.75</v>
      </c>
      <c r="F62" s="123"/>
      <c r="G62" s="42">
        <v>36845</v>
      </c>
      <c r="H62" s="42">
        <v>38671</v>
      </c>
      <c r="I62" s="38"/>
      <c r="J62" s="2"/>
      <c r="K62" s="26" t="s">
        <v>1031</v>
      </c>
      <c r="L62" s="32">
        <v>28062.797</v>
      </c>
      <c r="M62" s="17"/>
      <c r="N62" s="41">
        <v>0</v>
      </c>
      <c r="O62" s="22"/>
      <c r="P62" s="32">
        <f t="shared" si="2"/>
        <v>28062.797</v>
      </c>
      <c r="Q62" s="17"/>
    </row>
    <row r="63" spans="3:17" ht="15.75" customHeight="1">
      <c r="C63" s="108" t="s">
        <v>1067</v>
      </c>
      <c r="D63" s="40" t="s">
        <v>1039</v>
      </c>
      <c r="E63" s="353">
        <v>1.875</v>
      </c>
      <c r="F63" s="123"/>
      <c r="G63" s="42">
        <v>37956</v>
      </c>
      <c r="H63" s="42">
        <v>38686</v>
      </c>
      <c r="I63" s="38"/>
      <c r="J63" s="2"/>
      <c r="K63" s="26" t="s">
        <v>1033</v>
      </c>
      <c r="L63" s="32">
        <v>32203.806</v>
      </c>
      <c r="M63" s="17"/>
      <c r="N63" s="41">
        <v>0</v>
      </c>
      <c r="O63" s="22"/>
      <c r="P63" s="32">
        <f t="shared" si="2"/>
        <v>32203.806</v>
      </c>
      <c r="Q63" s="17"/>
    </row>
    <row r="64" spans="3:17" ht="15.75" customHeight="1">
      <c r="C64" s="6" t="s">
        <v>796</v>
      </c>
      <c r="D64" s="40" t="s">
        <v>1041</v>
      </c>
      <c r="E64" s="353">
        <v>1.875</v>
      </c>
      <c r="F64" s="123"/>
      <c r="G64" s="42">
        <v>37986</v>
      </c>
      <c r="H64" s="42">
        <v>38717</v>
      </c>
      <c r="I64" s="38"/>
      <c r="J64" s="2"/>
      <c r="K64" s="26" t="s">
        <v>866</v>
      </c>
      <c r="L64" s="32">
        <v>33996.27</v>
      </c>
      <c r="M64" s="17"/>
      <c r="N64" s="41">
        <v>0</v>
      </c>
      <c r="O64" s="22"/>
      <c r="P64" s="32">
        <f t="shared" si="2"/>
        <v>33996.27</v>
      </c>
      <c r="Q64" s="17"/>
    </row>
    <row r="65" spans="3:17" ht="15.75" customHeight="1">
      <c r="C65" s="6" t="s">
        <v>797</v>
      </c>
      <c r="D65" s="40" t="s">
        <v>840</v>
      </c>
      <c r="E65" s="353">
        <v>1.875</v>
      </c>
      <c r="F65" s="123"/>
      <c r="G65" s="42">
        <v>38019</v>
      </c>
      <c r="H65" s="42">
        <v>38748</v>
      </c>
      <c r="I65" s="38"/>
      <c r="J65" s="2"/>
      <c r="K65" s="26" t="s">
        <v>256</v>
      </c>
      <c r="L65" s="32">
        <v>32533.188</v>
      </c>
      <c r="M65" s="17"/>
      <c r="N65" s="41">
        <v>0</v>
      </c>
      <c r="O65" s="22"/>
      <c r="P65" s="32">
        <f t="shared" si="2"/>
        <v>32533.188</v>
      </c>
      <c r="Q65" s="17"/>
    </row>
    <row r="66" spans="3:17" ht="15.75" customHeight="1">
      <c r="C66" s="108" t="s">
        <v>1066</v>
      </c>
      <c r="D66" s="40" t="s">
        <v>871</v>
      </c>
      <c r="E66" s="353">
        <v>5.625</v>
      </c>
      <c r="F66" s="123"/>
      <c r="G66" s="42">
        <v>35110</v>
      </c>
      <c r="H66" s="42">
        <v>38763</v>
      </c>
      <c r="I66" s="38"/>
      <c r="J66" s="2"/>
      <c r="K66" s="26" t="s">
        <v>839</v>
      </c>
      <c r="L66" s="32">
        <v>15513.587</v>
      </c>
      <c r="M66" s="17"/>
      <c r="N66" s="41">
        <v>0</v>
      </c>
      <c r="O66" s="22"/>
      <c r="P66" s="32">
        <f t="shared" si="2"/>
        <v>15513.587</v>
      </c>
      <c r="Q66" s="17"/>
    </row>
    <row r="67" spans="3:17" ht="15.75" customHeight="1">
      <c r="C67" s="6" t="s">
        <v>574</v>
      </c>
      <c r="D67" s="40" t="s">
        <v>841</v>
      </c>
      <c r="E67" s="353">
        <v>1.625</v>
      </c>
      <c r="F67" s="123"/>
      <c r="G67" s="42">
        <v>38047</v>
      </c>
      <c r="H67" s="42">
        <v>38776</v>
      </c>
      <c r="I67" s="38"/>
      <c r="J67" s="2"/>
      <c r="K67" s="26" t="s">
        <v>573</v>
      </c>
      <c r="L67" s="32">
        <v>34001.95</v>
      </c>
      <c r="M67" s="17"/>
      <c r="N67" s="41">
        <v>0</v>
      </c>
      <c r="O67" s="22"/>
      <c r="P67" s="32">
        <f aca="true" t="shared" si="3" ref="P67:P73">L67+N67</f>
        <v>34001.95</v>
      </c>
      <c r="Q67" s="17"/>
    </row>
    <row r="68" spans="3:17" ht="15.75" customHeight="1">
      <c r="C68" s="6" t="s">
        <v>798</v>
      </c>
      <c r="D68" s="40" t="s">
        <v>1028</v>
      </c>
      <c r="E68" s="353">
        <v>1.5</v>
      </c>
      <c r="F68" s="123"/>
      <c r="G68" s="42">
        <v>38077</v>
      </c>
      <c r="H68" s="42">
        <v>38807</v>
      </c>
      <c r="I68" s="38"/>
      <c r="J68" s="2"/>
      <c r="K68" s="26" t="s">
        <v>1003</v>
      </c>
      <c r="L68" s="32">
        <v>34338.606</v>
      </c>
      <c r="M68" s="17"/>
      <c r="N68" s="41">
        <v>0</v>
      </c>
      <c r="O68" s="22"/>
      <c r="P68" s="32">
        <f t="shared" si="3"/>
        <v>34338.606</v>
      </c>
      <c r="Q68" s="17"/>
    </row>
    <row r="69" spans="3:17" ht="15.75" customHeight="1">
      <c r="C69" s="6" t="s">
        <v>799</v>
      </c>
      <c r="D69" s="40" t="s">
        <v>1032</v>
      </c>
      <c r="E69" s="353">
        <v>2.25</v>
      </c>
      <c r="F69" s="123"/>
      <c r="G69" s="42">
        <v>38107</v>
      </c>
      <c r="H69" s="42">
        <v>38837</v>
      </c>
      <c r="I69" s="38"/>
      <c r="J69" s="2"/>
      <c r="K69" s="26" t="s">
        <v>1002</v>
      </c>
      <c r="L69" s="32">
        <v>34334.801</v>
      </c>
      <c r="M69" s="17"/>
      <c r="N69" s="41">
        <v>0</v>
      </c>
      <c r="O69" s="22"/>
      <c r="P69" s="32">
        <f t="shared" si="3"/>
        <v>34334.801</v>
      </c>
      <c r="Q69" s="17"/>
    </row>
    <row r="70" spans="3:17" ht="15.75" customHeight="1">
      <c r="C70" s="6" t="s">
        <v>554</v>
      </c>
      <c r="D70" s="40" t="s">
        <v>1030</v>
      </c>
      <c r="E70" s="353">
        <v>6.875</v>
      </c>
      <c r="F70" s="123"/>
      <c r="G70" s="42">
        <v>35200</v>
      </c>
      <c r="H70" s="42">
        <v>38852</v>
      </c>
      <c r="I70" s="38"/>
      <c r="J70" s="2"/>
      <c r="K70" s="26" t="s">
        <v>752</v>
      </c>
      <c r="L70" s="32">
        <v>16015.475</v>
      </c>
      <c r="M70" s="17"/>
      <c r="N70" s="41">
        <v>0</v>
      </c>
      <c r="O70" s="22"/>
      <c r="P70" s="32">
        <f t="shared" si="3"/>
        <v>16015.475</v>
      </c>
      <c r="Q70" s="17"/>
    </row>
    <row r="71" spans="3:17" ht="15.75" customHeight="1">
      <c r="C71" s="6" t="s">
        <v>1126</v>
      </c>
      <c r="D71" s="40" t="s">
        <v>867</v>
      </c>
      <c r="E71" s="353">
        <v>4.625</v>
      </c>
      <c r="F71" s="123"/>
      <c r="G71" s="42">
        <v>37026</v>
      </c>
      <c r="H71" s="42">
        <v>38852</v>
      </c>
      <c r="I71" s="38"/>
      <c r="J71" s="2"/>
      <c r="K71" s="26" t="s">
        <v>752</v>
      </c>
      <c r="L71" s="32">
        <v>27797.852</v>
      </c>
      <c r="M71" s="17"/>
      <c r="N71" s="41">
        <v>0</v>
      </c>
      <c r="O71" s="22"/>
      <c r="P71" s="32">
        <f t="shared" si="3"/>
        <v>27797.852</v>
      </c>
      <c r="Q71" s="17"/>
    </row>
    <row r="72" spans="3:17" ht="15.75" customHeight="1">
      <c r="C72" s="6" t="s">
        <v>32</v>
      </c>
      <c r="D72" s="40" t="s">
        <v>1035</v>
      </c>
      <c r="E72" s="353">
        <v>2</v>
      </c>
      <c r="F72" s="123"/>
      <c r="G72" s="42">
        <v>37756</v>
      </c>
      <c r="H72" s="42">
        <v>38852</v>
      </c>
      <c r="I72" s="38"/>
      <c r="J72" s="2"/>
      <c r="K72" s="26" t="s">
        <v>752</v>
      </c>
      <c r="L72" s="32">
        <v>22391.759</v>
      </c>
      <c r="M72" s="17"/>
      <c r="N72" s="41">
        <v>0</v>
      </c>
      <c r="O72" s="22"/>
      <c r="P72" s="32">
        <f t="shared" si="3"/>
        <v>22391.759</v>
      </c>
      <c r="Q72" s="17"/>
    </row>
    <row r="73" spans="3:17" ht="15.75" customHeight="1">
      <c r="C73" s="6" t="s">
        <v>800</v>
      </c>
      <c r="D73" s="40" t="s">
        <v>1034</v>
      </c>
      <c r="E73" s="353">
        <v>2.5</v>
      </c>
      <c r="F73" s="123"/>
      <c r="G73" s="42">
        <v>38139</v>
      </c>
      <c r="H73" s="42">
        <v>38868</v>
      </c>
      <c r="I73" s="38"/>
      <c r="J73" s="2"/>
      <c r="K73" s="26" t="s">
        <v>749</v>
      </c>
      <c r="L73" s="32">
        <v>31307.947</v>
      </c>
      <c r="M73" s="17"/>
      <c r="N73" s="41">
        <v>0</v>
      </c>
      <c r="O73" s="22"/>
      <c r="P73" s="32">
        <f t="shared" si="3"/>
        <v>31307.947</v>
      </c>
      <c r="Q73" s="17"/>
    </row>
    <row r="74" spans="3:17" ht="15.75" customHeight="1">
      <c r="C74" s="6" t="s">
        <v>757</v>
      </c>
      <c r="D74" s="40" t="s">
        <v>1036</v>
      </c>
      <c r="E74" s="353">
        <v>2.75</v>
      </c>
      <c r="F74" s="123"/>
      <c r="G74" s="42">
        <v>38168</v>
      </c>
      <c r="H74" s="42">
        <v>38898</v>
      </c>
      <c r="I74" s="38"/>
      <c r="J74" s="2"/>
      <c r="K74" s="26" t="s">
        <v>750</v>
      </c>
      <c r="L74" s="32">
        <v>32587.733</v>
      </c>
      <c r="M74" s="17"/>
      <c r="N74" s="41">
        <v>0</v>
      </c>
      <c r="O74" s="22"/>
      <c r="P74" s="32">
        <f>L74+N74</f>
        <v>32587.733</v>
      </c>
      <c r="Q74" s="17"/>
    </row>
    <row r="75" spans="3:17" ht="15.75" customHeight="1">
      <c r="C75" s="6" t="s">
        <v>33</v>
      </c>
      <c r="D75" s="40" t="s">
        <v>1037</v>
      </c>
      <c r="E75" s="353">
        <v>7</v>
      </c>
      <c r="F75" s="123"/>
      <c r="G75" s="42">
        <v>35261</v>
      </c>
      <c r="H75" s="42">
        <v>38913</v>
      </c>
      <c r="I75" s="38"/>
      <c r="J75" s="2"/>
      <c r="K75" s="26" t="s">
        <v>868</v>
      </c>
      <c r="L75" s="32">
        <v>22740.446</v>
      </c>
      <c r="M75" s="17"/>
      <c r="N75" s="41">
        <v>0</v>
      </c>
      <c r="O75" s="22"/>
      <c r="P75" s="32">
        <f>L75+N75</f>
        <v>22740.446</v>
      </c>
      <c r="Q75" s="17"/>
    </row>
    <row r="76" spans="3:17" ht="15.75" customHeight="1">
      <c r="C76" s="108" t="s">
        <v>489</v>
      </c>
      <c r="D76" s="40" t="s">
        <v>1038</v>
      </c>
      <c r="E76" s="353">
        <v>2.75</v>
      </c>
      <c r="F76" s="123"/>
      <c r="G76" s="42">
        <v>38201</v>
      </c>
      <c r="H76" s="42">
        <v>38929</v>
      </c>
      <c r="I76" s="38"/>
      <c r="J76" s="2"/>
      <c r="K76" s="26" t="s">
        <v>870</v>
      </c>
      <c r="L76" s="32">
        <v>31010.881</v>
      </c>
      <c r="M76" s="17"/>
      <c r="N76" s="41">
        <v>0</v>
      </c>
      <c r="O76" s="22"/>
      <c r="P76" s="32">
        <f>L76</f>
        <v>31010.881</v>
      </c>
      <c r="Q76" s="17"/>
    </row>
    <row r="77" spans="3:17" ht="15.75" customHeight="1">
      <c r="C77" s="6" t="s">
        <v>801</v>
      </c>
      <c r="D77" s="40" t="s">
        <v>1040</v>
      </c>
      <c r="E77" s="353">
        <v>2.375</v>
      </c>
      <c r="F77" s="123"/>
      <c r="G77" s="42">
        <v>37848</v>
      </c>
      <c r="H77" s="42">
        <v>38944</v>
      </c>
      <c r="I77" s="38"/>
      <c r="J77" s="2"/>
      <c r="K77" s="26" t="s">
        <v>839</v>
      </c>
      <c r="L77" s="32">
        <v>27909.346</v>
      </c>
      <c r="M77" s="17"/>
      <c r="N77" s="41">
        <v>0</v>
      </c>
      <c r="O77" s="22"/>
      <c r="P77" s="32">
        <f>L77</f>
        <v>27909.346</v>
      </c>
      <c r="Q77" s="17"/>
    </row>
    <row r="78" spans="3:17" ht="15.75" customHeight="1">
      <c r="C78" s="6" t="s">
        <v>802</v>
      </c>
      <c r="D78" s="40" t="s">
        <v>1039</v>
      </c>
      <c r="E78" s="353">
        <v>2.375</v>
      </c>
      <c r="F78" s="123"/>
      <c r="G78" s="42">
        <v>38230</v>
      </c>
      <c r="H78" s="42">
        <v>38960</v>
      </c>
      <c r="I78" s="38"/>
      <c r="J78" s="2"/>
      <c r="K78" s="26" t="s">
        <v>490</v>
      </c>
      <c r="L78" s="32">
        <v>31814.087</v>
      </c>
      <c r="M78" s="17"/>
      <c r="N78" s="41">
        <v>0</v>
      </c>
      <c r="O78" s="22"/>
      <c r="P78" s="32">
        <f>L78</f>
        <v>31814.087</v>
      </c>
      <c r="Q78" s="17"/>
    </row>
    <row r="79" spans="3:17" ht="15.75" customHeight="1">
      <c r="C79" s="6" t="s">
        <v>803</v>
      </c>
      <c r="D79" s="40" t="s">
        <v>1041</v>
      </c>
      <c r="E79" s="353">
        <v>2.5</v>
      </c>
      <c r="F79" s="123"/>
      <c r="G79" s="42">
        <v>38260</v>
      </c>
      <c r="H79" s="42">
        <v>38990</v>
      </c>
      <c r="I79" s="38"/>
      <c r="J79" s="2"/>
      <c r="K79" s="26" t="s">
        <v>1025</v>
      </c>
      <c r="L79" s="32">
        <v>31656.294</v>
      </c>
      <c r="M79" s="17"/>
      <c r="N79" s="41">
        <v>0</v>
      </c>
      <c r="O79" s="22"/>
      <c r="P79" s="32">
        <f>L79</f>
        <v>31656.294</v>
      </c>
      <c r="Q79" s="17"/>
    </row>
    <row r="80" spans="3:17" ht="15.75" customHeight="1">
      <c r="C80" s="6" t="s">
        <v>784</v>
      </c>
      <c r="D80" s="40" t="s">
        <v>1042</v>
      </c>
      <c r="E80" s="353">
        <v>6.5</v>
      </c>
      <c r="F80" s="123"/>
      <c r="G80" s="42">
        <v>35353</v>
      </c>
      <c r="H80" s="42">
        <v>39005</v>
      </c>
      <c r="I80" s="72"/>
      <c r="J80" s="2"/>
      <c r="K80" s="26" t="s">
        <v>1027</v>
      </c>
      <c r="L80" s="32">
        <v>22459.675</v>
      </c>
      <c r="M80" s="17"/>
      <c r="N80" s="41">
        <v>0</v>
      </c>
      <c r="O80" s="22"/>
      <c r="P80" s="32">
        <f>L80+N80</f>
        <v>22459.675</v>
      </c>
      <c r="Q80" s="17"/>
    </row>
    <row r="81" spans="3:17" ht="15.75" customHeight="1">
      <c r="C81" s="108" t="s">
        <v>538</v>
      </c>
      <c r="D81" s="40" t="s">
        <v>539</v>
      </c>
      <c r="E81" s="353">
        <v>2.5</v>
      </c>
      <c r="F81" s="123"/>
      <c r="G81" s="42">
        <v>38292</v>
      </c>
      <c r="H81" s="42">
        <v>39021</v>
      </c>
      <c r="I81" s="38"/>
      <c r="J81" s="2"/>
      <c r="K81" s="26" t="s">
        <v>1029</v>
      </c>
      <c r="L81" s="32">
        <v>29568.526</v>
      </c>
      <c r="M81" s="17"/>
      <c r="N81" s="41">
        <v>0</v>
      </c>
      <c r="O81" s="22"/>
      <c r="P81" s="32">
        <f>L81</f>
        <v>29568.526</v>
      </c>
      <c r="Q81" s="17"/>
    </row>
    <row r="82" spans="1:17" ht="15.75" customHeight="1" thickBot="1">
      <c r="A82" s="77"/>
      <c r="B82" s="77"/>
      <c r="C82" s="79"/>
      <c r="D82" s="78"/>
      <c r="E82" s="78"/>
      <c r="F82" s="138"/>
      <c r="G82" s="308"/>
      <c r="H82" s="308"/>
      <c r="I82" s="308"/>
      <c r="J82" s="106"/>
      <c r="K82" s="78"/>
      <c r="L82" s="80"/>
      <c r="M82" s="80"/>
      <c r="N82" s="81"/>
      <c r="O82" s="81"/>
      <c r="P82" s="80"/>
      <c r="Q82" s="80"/>
    </row>
    <row r="83" spans="1:17" s="367" customFormat="1" ht="27.75" customHeight="1" thickBot="1" thickTop="1">
      <c r="A83" s="368"/>
      <c r="B83" s="369" t="s">
        <v>727</v>
      </c>
      <c r="C83" s="370"/>
      <c r="D83" s="370"/>
      <c r="E83" s="370"/>
      <c r="F83" s="370"/>
      <c r="G83" s="370"/>
      <c r="H83" s="370"/>
      <c r="I83" s="370"/>
      <c r="J83" s="370"/>
      <c r="K83" s="370"/>
      <c r="L83" s="370"/>
      <c r="M83" s="370"/>
      <c r="N83" s="370"/>
      <c r="O83" s="370"/>
      <c r="P83" s="370"/>
      <c r="Q83" s="371">
        <v>3</v>
      </c>
    </row>
    <row r="84" spans="3:17" ht="30.75" customHeight="1" thickTop="1">
      <c r="C84" s="71"/>
      <c r="G84" s="12" t="s">
        <v>845</v>
      </c>
      <c r="H84" s="12" t="s">
        <v>105</v>
      </c>
      <c r="I84" s="12" t="s">
        <v>104</v>
      </c>
      <c r="J84" s="24"/>
      <c r="K84" s="26" t="s">
        <v>846</v>
      </c>
      <c r="L84" s="12" t="s">
        <v>101</v>
      </c>
      <c r="M84" s="2"/>
      <c r="N84" s="2"/>
      <c r="O84" s="2"/>
      <c r="P84" s="2"/>
      <c r="Q84" s="2"/>
    </row>
    <row r="85" spans="1:12" ht="15.75" customHeight="1">
      <c r="A85" s="2" t="s">
        <v>102</v>
      </c>
      <c r="B85" s="2"/>
      <c r="C85" s="2"/>
      <c r="D85" s="2"/>
      <c r="E85" s="2"/>
      <c r="F85" s="2"/>
      <c r="G85" s="26" t="s">
        <v>103</v>
      </c>
      <c r="H85" s="26"/>
      <c r="I85" s="441"/>
      <c r="J85" s="442"/>
      <c r="K85" s="26" t="s">
        <v>105</v>
      </c>
      <c r="L85" s="10"/>
    </row>
    <row r="86" spans="1:17" ht="16.5" customHeight="1">
      <c r="A86" s="11"/>
      <c r="B86" s="11"/>
      <c r="C86" s="11"/>
      <c r="D86" s="11"/>
      <c r="E86" s="11"/>
      <c r="F86" s="11"/>
      <c r="G86" s="27"/>
      <c r="H86" s="27"/>
      <c r="I86" s="27"/>
      <c r="J86" s="28"/>
      <c r="K86" s="49"/>
      <c r="L86" s="29" t="s">
        <v>106</v>
      </c>
      <c r="M86" s="30"/>
      <c r="N86" s="29" t="s">
        <v>83</v>
      </c>
      <c r="O86" s="30"/>
      <c r="P86" s="29" t="s">
        <v>65</v>
      </c>
      <c r="Q86" s="30"/>
    </row>
    <row r="87" spans="1:17" ht="33.75" customHeight="1">
      <c r="A87" s="48" t="s">
        <v>964</v>
      </c>
      <c r="B87" s="48"/>
      <c r="G87" s="14"/>
      <c r="H87" s="14"/>
      <c r="I87" s="14"/>
      <c r="J87" s="31"/>
      <c r="K87" s="54"/>
      <c r="L87" s="10"/>
      <c r="N87" s="10"/>
      <c r="P87" s="32"/>
      <c r="Q87" s="17"/>
    </row>
    <row r="88" spans="2:17" ht="17.25" customHeight="1">
      <c r="B88" s="6" t="s">
        <v>86</v>
      </c>
      <c r="D88" s="2" t="s">
        <v>863</v>
      </c>
      <c r="E88" s="2" t="s">
        <v>864</v>
      </c>
      <c r="F88" s="2"/>
      <c r="G88" s="56"/>
      <c r="H88" s="14"/>
      <c r="I88" s="14"/>
      <c r="J88" s="31"/>
      <c r="K88" s="54"/>
      <c r="L88" s="10"/>
      <c r="N88" s="10"/>
      <c r="P88" s="32"/>
      <c r="Q88" s="17"/>
    </row>
    <row r="89" spans="3:17" ht="15.75" customHeight="1">
      <c r="C89" s="6" t="s">
        <v>540</v>
      </c>
      <c r="D89" s="40" t="s">
        <v>1026</v>
      </c>
      <c r="E89" s="353">
        <v>3.5</v>
      </c>
      <c r="F89" s="123"/>
      <c r="G89" s="42">
        <v>37210</v>
      </c>
      <c r="H89" s="42">
        <v>39036</v>
      </c>
      <c r="I89" s="72"/>
      <c r="J89" s="2"/>
      <c r="K89" s="26" t="s">
        <v>1031</v>
      </c>
      <c r="L89" s="32">
        <v>35380.129</v>
      </c>
      <c r="M89" s="17"/>
      <c r="N89" s="41">
        <v>0</v>
      </c>
      <c r="O89" s="22"/>
      <c r="P89" s="32">
        <f aca="true" t="shared" si="4" ref="P89:P113">L89+N89</f>
        <v>35380.129</v>
      </c>
      <c r="Q89" s="17"/>
    </row>
    <row r="90" spans="3:17" ht="15.75" customHeight="1">
      <c r="C90" s="108" t="s">
        <v>999</v>
      </c>
      <c r="D90" s="40" t="s">
        <v>869</v>
      </c>
      <c r="E90" s="353">
        <v>2.625</v>
      </c>
      <c r="F90" s="123"/>
      <c r="G90" s="42">
        <v>37942</v>
      </c>
      <c r="H90" s="42">
        <v>39036</v>
      </c>
      <c r="I90" s="72"/>
      <c r="J90" s="2"/>
      <c r="K90" s="26" t="s">
        <v>1031</v>
      </c>
      <c r="L90" s="32">
        <v>26535.905</v>
      </c>
      <c r="M90" s="17"/>
      <c r="N90" s="41">
        <v>0</v>
      </c>
      <c r="O90" s="22"/>
      <c r="P90" s="32">
        <f t="shared" si="4"/>
        <v>26535.905</v>
      </c>
      <c r="Q90" s="17"/>
    </row>
    <row r="91" spans="3:17" ht="15.75" customHeight="1">
      <c r="C91" s="6" t="s">
        <v>804</v>
      </c>
      <c r="D91" s="40" t="s">
        <v>865</v>
      </c>
      <c r="E91" s="353">
        <v>2.875</v>
      </c>
      <c r="F91" s="123"/>
      <c r="G91" s="42">
        <v>38321</v>
      </c>
      <c r="H91" s="42">
        <v>39051</v>
      </c>
      <c r="I91" s="72"/>
      <c r="J91" s="2"/>
      <c r="K91" s="26" t="s">
        <v>1033</v>
      </c>
      <c r="L91" s="32">
        <v>30049.344</v>
      </c>
      <c r="M91" s="17"/>
      <c r="N91" s="41">
        <v>0</v>
      </c>
      <c r="O91" s="22"/>
      <c r="P91" s="32">
        <f>L91</f>
        <v>30049.344</v>
      </c>
      <c r="Q91" s="17"/>
    </row>
    <row r="92" spans="3:17" ht="15.75" customHeight="1">
      <c r="C92" s="6" t="s">
        <v>805</v>
      </c>
      <c r="D92" s="40" t="s">
        <v>1044</v>
      </c>
      <c r="E92" s="353">
        <v>3</v>
      </c>
      <c r="F92" s="123"/>
      <c r="G92" s="42">
        <v>38352</v>
      </c>
      <c r="H92" s="42">
        <v>39082</v>
      </c>
      <c r="I92" s="72"/>
      <c r="J92" s="2"/>
      <c r="K92" s="26" t="s">
        <v>866</v>
      </c>
      <c r="L92" s="32">
        <v>31951.752</v>
      </c>
      <c r="M92" s="17"/>
      <c r="N92" s="41">
        <v>0</v>
      </c>
      <c r="O92" s="22"/>
      <c r="P92" s="32">
        <f>L92</f>
        <v>31951.752</v>
      </c>
      <c r="Q92" s="17"/>
    </row>
    <row r="93" spans="3:17" ht="15.75" customHeight="1">
      <c r="C93" s="6" t="s">
        <v>806</v>
      </c>
      <c r="D93" s="40" t="s">
        <v>1028</v>
      </c>
      <c r="E93" s="353">
        <v>3.125</v>
      </c>
      <c r="F93" s="123"/>
      <c r="G93" s="42">
        <v>38383</v>
      </c>
      <c r="H93" s="42">
        <v>39113</v>
      </c>
      <c r="I93" s="72"/>
      <c r="J93" s="2"/>
      <c r="K93" s="26" t="s">
        <v>256</v>
      </c>
      <c r="L93" s="32">
        <v>29026.959</v>
      </c>
      <c r="M93" s="17"/>
      <c r="N93" s="41">
        <v>0</v>
      </c>
      <c r="O93" s="22"/>
      <c r="P93" s="32">
        <f>L93</f>
        <v>29026.959</v>
      </c>
      <c r="Q93" s="17"/>
    </row>
    <row r="94" spans="3:17" ht="15.75" customHeight="1">
      <c r="C94" s="6" t="s">
        <v>510</v>
      </c>
      <c r="D94" s="40" t="s">
        <v>1030</v>
      </c>
      <c r="E94" s="353">
        <v>6.25</v>
      </c>
      <c r="F94" s="123"/>
      <c r="G94" s="42">
        <v>35479</v>
      </c>
      <c r="H94" s="42">
        <v>39128</v>
      </c>
      <c r="I94" s="72"/>
      <c r="J94" s="2"/>
      <c r="K94" s="26" t="s">
        <v>751</v>
      </c>
      <c r="L94" s="32">
        <v>13103.678</v>
      </c>
      <c r="M94" s="17"/>
      <c r="N94" s="41">
        <v>0</v>
      </c>
      <c r="O94" s="22"/>
      <c r="P94" s="32">
        <f t="shared" si="4"/>
        <v>13103.678</v>
      </c>
      <c r="Q94" s="17"/>
    </row>
    <row r="95" spans="3:17" ht="15.75" customHeight="1">
      <c r="C95" s="108" t="s">
        <v>722</v>
      </c>
      <c r="D95" s="40" t="s">
        <v>1040</v>
      </c>
      <c r="E95" s="353">
        <v>2.25</v>
      </c>
      <c r="F95" s="123"/>
      <c r="G95" s="42">
        <v>38034</v>
      </c>
      <c r="H95" s="42">
        <v>39128</v>
      </c>
      <c r="I95" s="38"/>
      <c r="J95" s="2"/>
      <c r="K95" s="26" t="s">
        <v>751</v>
      </c>
      <c r="L95" s="32">
        <v>25469.287</v>
      </c>
      <c r="M95" s="17"/>
      <c r="N95" s="41">
        <v>0</v>
      </c>
      <c r="O95" s="22"/>
      <c r="P95" s="32">
        <f>L95+N95</f>
        <v>25469.287</v>
      </c>
      <c r="Q95" s="17"/>
    </row>
    <row r="96" spans="3:17" ht="15.75" customHeight="1">
      <c r="C96" s="6" t="s">
        <v>807</v>
      </c>
      <c r="D96" s="40" t="s">
        <v>1032</v>
      </c>
      <c r="E96" s="353">
        <v>3.375</v>
      </c>
      <c r="F96" s="123"/>
      <c r="G96" s="42">
        <v>38411</v>
      </c>
      <c r="H96" s="42">
        <v>39141</v>
      </c>
      <c r="I96" s="38"/>
      <c r="J96" s="2"/>
      <c r="K96" s="26" t="s">
        <v>573</v>
      </c>
      <c r="L96" s="32">
        <v>32007.046</v>
      </c>
      <c r="M96" s="17"/>
      <c r="N96" s="41">
        <v>0</v>
      </c>
      <c r="O96" s="22"/>
      <c r="P96" s="32">
        <f>L96+N96</f>
        <v>32007.046</v>
      </c>
      <c r="Q96" s="17"/>
    </row>
    <row r="97" spans="3:17" ht="15.75" customHeight="1">
      <c r="C97" s="6" t="s">
        <v>402</v>
      </c>
      <c r="D97" s="40" t="s">
        <v>1034</v>
      </c>
      <c r="E97" s="353">
        <v>3.75</v>
      </c>
      <c r="F97" s="123"/>
      <c r="G97" s="42">
        <v>38442</v>
      </c>
      <c r="H97" s="42">
        <v>39172</v>
      </c>
      <c r="I97" s="38"/>
      <c r="J97" s="2"/>
      <c r="K97" s="26" t="s">
        <v>1003</v>
      </c>
      <c r="L97" s="32">
        <v>32000.981</v>
      </c>
      <c r="M97" s="17"/>
      <c r="N97" s="41">
        <v>0</v>
      </c>
      <c r="O97" s="22"/>
      <c r="P97" s="32">
        <f>L97+N97</f>
        <v>32000.981</v>
      </c>
      <c r="Q97" s="17"/>
    </row>
    <row r="98" spans="3:17" ht="15.75" customHeight="1">
      <c r="C98" s="6" t="s">
        <v>275</v>
      </c>
      <c r="D98" s="40" t="s">
        <v>1036</v>
      </c>
      <c r="E98" s="353">
        <v>3.625</v>
      </c>
      <c r="F98" s="123"/>
      <c r="G98" s="42">
        <v>38474</v>
      </c>
      <c r="H98" s="42">
        <v>39202</v>
      </c>
      <c r="I98" s="38"/>
      <c r="J98" s="2"/>
      <c r="K98" s="26" t="s">
        <v>1002</v>
      </c>
      <c r="L98" s="32">
        <v>31997.895</v>
      </c>
      <c r="M98" s="17"/>
      <c r="N98" s="41">
        <v>0</v>
      </c>
      <c r="O98" s="22"/>
      <c r="P98" s="32">
        <f>L98+N98</f>
        <v>31997.895</v>
      </c>
      <c r="Q98" s="17"/>
    </row>
    <row r="99" spans="3:17" ht="15.75" customHeight="1">
      <c r="C99" s="6" t="s">
        <v>992</v>
      </c>
      <c r="D99" s="40" t="s">
        <v>1037</v>
      </c>
      <c r="E99" s="353">
        <v>6.625</v>
      </c>
      <c r="F99" s="123"/>
      <c r="G99" s="42">
        <v>35565</v>
      </c>
      <c r="H99" s="42">
        <v>39217</v>
      </c>
      <c r="I99" s="72"/>
      <c r="J99" s="2"/>
      <c r="K99" s="26" t="s">
        <v>752</v>
      </c>
      <c r="L99" s="32">
        <v>13958.186</v>
      </c>
      <c r="M99" s="17"/>
      <c r="N99" s="41">
        <v>0</v>
      </c>
      <c r="O99" s="22"/>
      <c r="P99" s="32">
        <f t="shared" si="4"/>
        <v>13958.186</v>
      </c>
      <c r="Q99" s="17"/>
    </row>
    <row r="100" spans="3:17" ht="15.75" customHeight="1">
      <c r="C100" s="6" t="s">
        <v>29</v>
      </c>
      <c r="D100" s="40" t="s">
        <v>867</v>
      </c>
      <c r="E100" s="353">
        <v>4.375</v>
      </c>
      <c r="F100" s="123"/>
      <c r="G100" s="42">
        <v>37391</v>
      </c>
      <c r="H100" s="42">
        <v>39217</v>
      </c>
      <c r="I100" s="72"/>
      <c r="J100" s="2"/>
      <c r="K100" s="26" t="s">
        <v>752</v>
      </c>
      <c r="L100" s="32">
        <v>24351.431</v>
      </c>
      <c r="M100" s="17"/>
      <c r="N100" s="41">
        <v>0</v>
      </c>
      <c r="O100" s="22"/>
      <c r="P100" s="32">
        <f t="shared" si="4"/>
        <v>24351.431</v>
      </c>
      <c r="Q100" s="17"/>
    </row>
    <row r="101" spans="3:17" ht="15.75" customHeight="1">
      <c r="C101" s="6" t="s">
        <v>808</v>
      </c>
      <c r="D101" s="40" t="s">
        <v>869</v>
      </c>
      <c r="E101" s="353">
        <v>3.125</v>
      </c>
      <c r="F101" s="123"/>
      <c r="G101" s="42">
        <v>38124</v>
      </c>
      <c r="H101" s="42">
        <v>39217</v>
      </c>
      <c r="I101" s="72"/>
      <c r="J101" s="2"/>
      <c r="K101" s="26" t="s">
        <v>752</v>
      </c>
      <c r="L101" s="32">
        <v>27564.268</v>
      </c>
      <c r="M101" s="17"/>
      <c r="N101" s="41">
        <v>0</v>
      </c>
      <c r="O101" s="22"/>
      <c r="P101" s="32">
        <f>L101+N101</f>
        <v>27564.268</v>
      </c>
      <c r="Q101" s="17"/>
    </row>
    <row r="102" spans="3:17" ht="15.75" customHeight="1">
      <c r="C102" s="6" t="s">
        <v>284</v>
      </c>
      <c r="D102" s="40" t="s">
        <v>1038</v>
      </c>
      <c r="E102" s="353">
        <v>3.5</v>
      </c>
      <c r="F102" s="123"/>
      <c r="G102" s="42">
        <v>38503</v>
      </c>
      <c r="H102" s="42">
        <v>39233</v>
      </c>
      <c r="I102" s="72"/>
      <c r="J102" s="2"/>
      <c r="K102" s="26" t="s">
        <v>749</v>
      </c>
      <c r="L102" s="32">
        <v>29119.184</v>
      </c>
      <c r="M102" s="17"/>
      <c r="N102" s="41">
        <v>0</v>
      </c>
      <c r="O102" s="22"/>
      <c r="P102" s="32">
        <f>L102+N102</f>
        <v>29119.184</v>
      </c>
      <c r="Q102" s="17"/>
    </row>
    <row r="103" spans="3:17" ht="15.75" customHeight="1">
      <c r="C103" s="6" t="s">
        <v>23</v>
      </c>
      <c r="D103" s="40" t="s">
        <v>1039</v>
      </c>
      <c r="E103" s="353">
        <v>3.625</v>
      </c>
      <c r="F103" s="123"/>
      <c r="G103" s="42">
        <v>38533</v>
      </c>
      <c r="H103" s="42">
        <v>39263</v>
      </c>
      <c r="I103" s="72"/>
      <c r="J103" s="2"/>
      <c r="K103" s="26" t="s">
        <v>750</v>
      </c>
      <c r="L103" s="32">
        <v>26665.076</v>
      </c>
      <c r="M103" s="17"/>
      <c r="N103" s="41">
        <v>0</v>
      </c>
      <c r="O103" s="22"/>
      <c r="P103" s="32">
        <f>L103+N103</f>
        <v>26665.076</v>
      </c>
      <c r="Q103" s="17"/>
    </row>
    <row r="104" spans="3:17" ht="15.75" customHeight="1">
      <c r="C104" s="108" t="s">
        <v>30</v>
      </c>
      <c r="D104" s="40" t="s">
        <v>1042</v>
      </c>
      <c r="E104" s="353">
        <v>6.125</v>
      </c>
      <c r="F104" s="123"/>
      <c r="G104" s="42">
        <v>35657</v>
      </c>
      <c r="H104" s="42">
        <v>39309</v>
      </c>
      <c r="I104" s="72"/>
      <c r="J104" s="2"/>
      <c r="K104" s="26" t="s">
        <v>839</v>
      </c>
      <c r="L104" s="32">
        <v>25636.803</v>
      </c>
      <c r="M104" s="17"/>
      <c r="N104" s="41">
        <v>0</v>
      </c>
      <c r="O104" s="22"/>
      <c r="P104" s="32">
        <f t="shared" si="4"/>
        <v>25636.803</v>
      </c>
      <c r="Q104" s="17"/>
    </row>
    <row r="105" spans="3:17" ht="15.75" customHeight="1">
      <c r="C105" s="6" t="s">
        <v>599</v>
      </c>
      <c r="D105" s="40" t="s">
        <v>1026</v>
      </c>
      <c r="E105" s="353">
        <v>3.25</v>
      </c>
      <c r="F105" s="123"/>
      <c r="G105" s="42">
        <v>37483</v>
      </c>
      <c r="H105" s="42">
        <v>39309</v>
      </c>
      <c r="I105" s="72"/>
      <c r="J105" s="2"/>
      <c r="K105" s="26" t="s">
        <v>839</v>
      </c>
      <c r="L105" s="32">
        <v>25410.844</v>
      </c>
      <c r="M105" s="17"/>
      <c r="N105" s="41">
        <v>0</v>
      </c>
      <c r="O105" s="22"/>
      <c r="P105" s="32">
        <f t="shared" si="4"/>
        <v>25410.844</v>
      </c>
      <c r="Q105" s="17"/>
    </row>
    <row r="106" spans="3:17" ht="15.75" customHeight="1">
      <c r="C106" s="6" t="s">
        <v>809</v>
      </c>
      <c r="D106" s="40" t="s">
        <v>840</v>
      </c>
      <c r="E106" s="353">
        <v>2.75</v>
      </c>
      <c r="F106" s="123"/>
      <c r="G106" s="42">
        <v>38215</v>
      </c>
      <c r="H106" s="42">
        <v>39309</v>
      </c>
      <c r="I106" s="72"/>
      <c r="J106" s="2"/>
      <c r="K106" s="26" t="s">
        <v>839</v>
      </c>
      <c r="L106" s="32">
        <v>24673.687</v>
      </c>
      <c r="M106" s="17"/>
      <c r="N106" s="41">
        <v>0</v>
      </c>
      <c r="O106" s="22"/>
      <c r="P106" s="32">
        <f>L106+N106</f>
        <v>24673.687</v>
      </c>
      <c r="Q106" s="17"/>
    </row>
    <row r="107" spans="3:17" ht="15.75" customHeight="1">
      <c r="C107" s="6" t="s">
        <v>810</v>
      </c>
      <c r="D107" s="40" t="s">
        <v>1035</v>
      </c>
      <c r="E107" s="353">
        <v>3</v>
      </c>
      <c r="F107" s="123"/>
      <c r="G107" s="42">
        <v>37575</v>
      </c>
      <c r="H107" s="42">
        <v>39401</v>
      </c>
      <c r="I107" s="72"/>
      <c r="J107" s="2"/>
      <c r="K107" s="26" t="s">
        <v>1031</v>
      </c>
      <c r="L107" s="32">
        <v>50619.528</v>
      </c>
      <c r="M107" s="17"/>
      <c r="N107" s="41">
        <v>0</v>
      </c>
      <c r="O107" s="22"/>
      <c r="P107" s="32">
        <f t="shared" si="4"/>
        <v>50619.528</v>
      </c>
      <c r="Q107" s="17"/>
    </row>
    <row r="108" spans="3:17" ht="15.75" customHeight="1">
      <c r="C108" s="108" t="s">
        <v>848</v>
      </c>
      <c r="D108" s="40" t="s">
        <v>1030</v>
      </c>
      <c r="E108" s="353">
        <v>5.5</v>
      </c>
      <c r="F108" s="123"/>
      <c r="G108" s="42">
        <v>35843</v>
      </c>
      <c r="H108" s="42">
        <v>39493</v>
      </c>
      <c r="I108" s="72"/>
      <c r="J108" s="2"/>
      <c r="K108" s="26" t="s">
        <v>751</v>
      </c>
      <c r="L108" s="32">
        <v>13583.412</v>
      </c>
      <c r="M108" s="17"/>
      <c r="N108" s="41">
        <v>0</v>
      </c>
      <c r="O108" s="22"/>
      <c r="P108" s="32">
        <f t="shared" si="4"/>
        <v>13583.412</v>
      </c>
      <c r="Q108" s="17"/>
    </row>
    <row r="109" spans="3:17" ht="15.75" customHeight="1">
      <c r="C109" s="6" t="s">
        <v>174</v>
      </c>
      <c r="D109" s="40" t="s">
        <v>867</v>
      </c>
      <c r="E109" s="353">
        <v>3</v>
      </c>
      <c r="F109" s="123"/>
      <c r="G109" s="42">
        <v>37670</v>
      </c>
      <c r="H109" s="42">
        <v>39493</v>
      </c>
      <c r="I109" s="72"/>
      <c r="J109" s="2"/>
      <c r="K109" s="26" t="s">
        <v>751</v>
      </c>
      <c r="L109" s="32">
        <v>27489.26</v>
      </c>
      <c r="M109" s="17"/>
      <c r="N109" s="41">
        <v>0</v>
      </c>
      <c r="O109" s="22"/>
      <c r="P109" s="32">
        <f t="shared" si="4"/>
        <v>27489.26</v>
      </c>
      <c r="Q109" s="17"/>
    </row>
    <row r="110" spans="3:17" ht="15.75" customHeight="1">
      <c r="C110" s="6" t="s">
        <v>811</v>
      </c>
      <c r="D110" s="40" t="s">
        <v>1028</v>
      </c>
      <c r="E110" s="353">
        <v>3.375</v>
      </c>
      <c r="F110" s="123"/>
      <c r="G110" s="42">
        <v>38398</v>
      </c>
      <c r="H110" s="42">
        <v>39493</v>
      </c>
      <c r="I110" s="72"/>
      <c r="J110" s="2"/>
      <c r="K110" s="26" t="s">
        <v>751</v>
      </c>
      <c r="L110" s="32">
        <v>23885.083</v>
      </c>
      <c r="M110" s="17"/>
      <c r="N110" s="41">
        <v>0</v>
      </c>
      <c r="O110" s="22"/>
      <c r="P110" s="32">
        <f>L110+N110</f>
        <v>23885.083</v>
      </c>
      <c r="Q110" s="17"/>
    </row>
    <row r="111" spans="3:17" ht="15.75" customHeight="1">
      <c r="C111" s="6" t="s">
        <v>850</v>
      </c>
      <c r="D111" s="40" t="s">
        <v>1037</v>
      </c>
      <c r="E111" s="353">
        <v>5.625</v>
      </c>
      <c r="F111" s="123"/>
      <c r="G111" s="42">
        <v>35930</v>
      </c>
      <c r="H111" s="42">
        <v>39583</v>
      </c>
      <c r="I111" s="72"/>
      <c r="J111" s="2"/>
      <c r="K111" s="26" t="s">
        <v>752</v>
      </c>
      <c r="L111" s="32">
        <v>27190.961</v>
      </c>
      <c r="M111" s="17"/>
      <c r="N111" s="41">
        <v>0</v>
      </c>
      <c r="O111" s="22"/>
      <c r="P111" s="32">
        <f t="shared" si="4"/>
        <v>27190.961</v>
      </c>
      <c r="Q111" s="17"/>
    </row>
    <row r="112" spans="3:17" ht="15.75" customHeight="1">
      <c r="C112" s="6" t="s">
        <v>34</v>
      </c>
      <c r="D112" s="40" t="s">
        <v>1026</v>
      </c>
      <c r="E112" s="353">
        <v>2.625</v>
      </c>
      <c r="F112" s="123"/>
      <c r="G112" s="42">
        <v>37756</v>
      </c>
      <c r="H112" s="42">
        <v>39583</v>
      </c>
      <c r="I112" s="72"/>
      <c r="J112" s="2"/>
      <c r="K112" s="26" t="s">
        <v>752</v>
      </c>
      <c r="L112" s="32">
        <v>33338.446</v>
      </c>
      <c r="M112" s="17"/>
      <c r="N112" s="41">
        <v>0</v>
      </c>
      <c r="O112" s="22"/>
      <c r="P112" s="32">
        <f t="shared" si="4"/>
        <v>33338.446</v>
      </c>
      <c r="Q112" s="17"/>
    </row>
    <row r="113" spans="3:17" ht="15.75" customHeight="1">
      <c r="C113" s="6" t="s">
        <v>278</v>
      </c>
      <c r="D113" s="40" t="s">
        <v>1032</v>
      </c>
      <c r="E113" s="353">
        <v>3.75</v>
      </c>
      <c r="F113" s="123"/>
      <c r="G113" s="42">
        <v>38488</v>
      </c>
      <c r="H113" s="42">
        <v>39583</v>
      </c>
      <c r="I113" s="72"/>
      <c r="J113" s="2"/>
      <c r="K113" s="26" t="s">
        <v>752</v>
      </c>
      <c r="L113" s="32">
        <v>26707.681</v>
      </c>
      <c r="M113" s="17"/>
      <c r="N113" s="41">
        <v>0</v>
      </c>
      <c r="O113" s="22"/>
      <c r="P113" s="32">
        <f t="shared" si="4"/>
        <v>26707.681</v>
      </c>
      <c r="Q113" s="17"/>
    </row>
    <row r="114" spans="3:17" ht="15.75" customHeight="1">
      <c r="C114" s="6" t="s">
        <v>812</v>
      </c>
      <c r="D114" s="40" t="s">
        <v>1035</v>
      </c>
      <c r="E114" s="353">
        <v>3.25</v>
      </c>
      <c r="F114" s="123"/>
      <c r="G114" s="42">
        <v>37848</v>
      </c>
      <c r="H114" s="42">
        <v>39675</v>
      </c>
      <c r="I114" s="72"/>
      <c r="J114" s="2"/>
      <c r="K114" s="26" t="s">
        <v>839</v>
      </c>
      <c r="L114" s="32">
        <v>21357.474</v>
      </c>
      <c r="M114" s="17"/>
      <c r="N114" s="41">
        <v>0</v>
      </c>
      <c r="O114" s="22"/>
      <c r="P114" s="32">
        <f>L114</f>
        <v>21357.474</v>
      </c>
      <c r="Q114" s="17"/>
    </row>
    <row r="115" spans="3:17" ht="15.75" customHeight="1">
      <c r="C115" s="6" t="s">
        <v>813</v>
      </c>
      <c r="D115" s="40" t="s">
        <v>1040</v>
      </c>
      <c r="E115" s="353">
        <v>3.125</v>
      </c>
      <c r="F115" s="123"/>
      <c r="G115" s="42">
        <v>37879</v>
      </c>
      <c r="H115" s="42">
        <v>39706</v>
      </c>
      <c r="I115" s="72"/>
      <c r="J115" s="2"/>
      <c r="K115" s="26" t="s">
        <v>11</v>
      </c>
      <c r="L115" s="32">
        <v>16002.177</v>
      </c>
      <c r="M115" s="17"/>
      <c r="N115" s="41">
        <v>0</v>
      </c>
      <c r="O115" s="22"/>
      <c r="P115" s="32">
        <f>L115</f>
        <v>16002.177</v>
      </c>
      <c r="Q115" s="17"/>
    </row>
    <row r="116" spans="3:17" ht="15.75" customHeight="1">
      <c r="C116" s="6" t="s">
        <v>814</v>
      </c>
      <c r="D116" s="40" t="s">
        <v>869</v>
      </c>
      <c r="E116" s="353">
        <v>3.125</v>
      </c>
      <c r="F116" s="123"/>
      <c r="G116" s="42">
        <v>37909</v>
      </c>
      <c r="H116" s="42">
        <v>39736</v>
      </c>
      <c r="I116" s="38"/>
      <c r="J116" s="2"/>
      <c r="K116" s="26" t="s">
        <v>1027</v>
      </c>
      <c r="L116" s="32">
        <v>15995.702</v>
      </c>
      <c r="M116" s="17"/>
      <c r="N116" s="41">
        <v>0</v>
      </c>
      <c r="O116" s="22"/>
      <c r="P116" s="32">
        <f>L116</f>
        <v>15995.702</v>
      </c>
      <c r="Q116" s="17"/>
    </row>
    <row r="117" spans="3:17" ht="15.75" customHeight="1">
      <c r="C117" s="108" t="s">
        <v>35</v>
      </c>
      <c r="D117" s="40" t="s">
        <v>1042</v>
      </c>
      <c r="E117" s="353">
        <v>4.75</v>
      </c>
      <c r="F117" s="123"/>
      <c r="G117" s="42">
        <v>36115</v>
      </c>
      <c r="H117" s="42">
        <v>39767</v>
      </c>
      <c r="I117" s="72"/>
      <c r="J117" s="2"/>
      <c r="K117" s="26" t="s">
        <v>1031</v>
      </c>
      <c r="L117" s="32">
        <v>25083.125</v>
      </c>
      <c r="M117" s="17"/>
      <c r="N117" s="41">
        <v>0</v>
      </c>
      <c r="O117" s="22"/>
      <c r="P117" s="32">
        <f aca="true" t="shared" si="5" ref="P117:P122">L117+N117</f>
        <v>25083.125</v>
      </c>
      <c r="Q117" s="17"/>
    </row>
    <row r="118" spans="3:17" ht="15.75" customHeight="1">
      <c r="C118" s="6" t="s">
        <v>511</v>
      </c>
      <c r="D118" s="40" t="s">
        <v>840</v>
      </c>
      <c r="E118" s="353">
        <v>3.375</v>
      </c>
      <c r="F118" s="123"/>
      <c r="G118" s="42">
        <v>37942</v>
      </c>
      <c r="H118" s="42">
        <v>39767</v>
      </c>
      <c r="I118" s="72"/>
      <c r="J118" s="2"/>
      <c r="K118" s="26" t="s">
        <v>1031</v>
      </c>
      <c r="L118" s="32">
        <v>18181.033</v>
      </c>
      <c r="M118" s="17"/>
      <c r="N118" s="41">
        <v>0</v>
      </c>
      <c r="O118" s="22"/>
      <c r="P118" s="32">
        <f t="shared" si="5"/>
        <v>18181.033</v>
      </c>
      <c r="Q118" s="17"/>
    </row>
    <row r="119" spans="3:17" ht="15.75" customHeight="1">
      <c r="C119" s="6" t="s">
        <v>815</v>
      </c>
      <c r="D119" s="40" t="s">
        <v>841</v>
      </c>
      <c r="E119" s="353">
        <v>3.375</v>
      </c>
      <c r="F119" s="123"/>
      <c r="G119" s="42">
        <v>37970</v>
      </c>
      <c r="H119" s="42">
        <v>39797</v>
      </c>
      <c r="I119" s="72"/>
      <c r="J119" s="2"/>
      <c r="K119" s="26" t="s">
        <v>1068</v>
      </c>
      <c r="L119" s="32">
        <v>16000.028</v>
      </c>
      <c r="M119" s="17"/>
      <c r="N119" s="41">
        <v>0</v>
      </c>
      <c r="O119" s="22"/>
      <c r="P119" s="32">
        <f t="shared" si="5"/>
        <v>16000.028</v>
      </c>
      <c r="Q119" s="17"/>
    </row>
    <row r="120" spans="3:17" ht="15.75" customHeight="1">
      <c r="C120" s="6" t="s">
        <v>816</v>
      </c>
      <c r="D120" s="40" t="s">
        <v>1042</v>
      </c>
      <c r="E120" s="353">
        <v>3.25</v>
      </c>
      <c r="F120" s="123"/>
      <c r="G120" s="42">
        <v>38001</v>
      </c>
      <c r="H120" s="42">
        <v>39828</v>
      </c>
      <c r="I120" s="72"/>
      <c r="J120" s="2"/>
      <c r="K120" s="26" t="s">
        <v>31</v>
      </c>
      <c r="L120" s="32">
        <v>16002.546</v>
      </c>
      <c r="M120" s="17"/>
      <c r="N120" s="41">
        <v>0</v>
      </c>
      <c r="O120" s="22"/>
      <c r="P120" s="32">
        <f t="shared" si="5"/>
        <v>16002.546</v>
      </c>
      <c r="Q120" s="17"/>
    </row>
    <row r="121" spans="3:17" ht="15.75" customHeight="1">
      <c r="C121" s="6" t="s">
        <v>817</v>
      </c>
      <c r="D121" s="40" t="s">
        <v>867</v>
      </c>
      <c r="E121" s="353">
        <v>3</v>
      </c>
      <c r="F121" s="123"/>
      <c r="G121" s="42">
        <v>38034</v>
      </c>
      <c r="H121" s="42">
        <v>39859</v>
      </c>
      <c r="I121" s="72"/>
      <c r="J121" s="2"/>
      <c r="K121" s="26" t="s">
        <v>751</v>
      </c>
      <c r="L121" s="32">
        <v>17433.763</v>
      </c>
      <c r="M121" s="17"/>
      <c r="N121" s="41">
        <v>0</v>
      </c>
      <c r="O121" s="22"/>
      <c r="P121" s="32">
        <f t="shared" si="5"/>
        <v>17433.763</v>
      </c>
      <c r="Q121" s="17"/>
    </row>
    <row r="122" spans="3:17" ht="15.75" customHeight="1">
      <c r="C122" s="6" t="s">
        <v>818</v>
      </c>
      <c r="D122" s="40" t="s">
        <v>1026</v>
      </c>
      <c r="E122" s="353">
        <v>2.625</v>
      </c>
      <c r="F122" s="123"/>
      <c r="G122" s="42">
        <v>38061</v>
      </c>
      <c r="H122" s="42">
        <v>39887</v>
      </c>
      <c r="I122" s="72"/>
      <c r="J122" s="2"/>
      <c r="K122" s="26" t="s">
        <v>572</v>
      </c>
      <c r="L122" s="32">
        <v>16001.063</v>
      </c>
      <c r="M122" s="17"/>
      <c r="N122" s="41">
        <v>0</v>
      </c>
      <c r="O122" s="22"/>
      <c r="P122" s="32">
        <f t="shared" si="5"/>
        <v>16001.063</v>
      </c>
      <c r="Q122" s="17"/>
    </row>
    <row r="123" spans="3:17" ht="15.75" customHeight="1">
      <c r="C123" s="6" t="s">
        <v>819</v>
      </c>
      <c r="D123" s="40" t="s">
        <v>1035</v>
      </c>
      <c r="E123" s="353">
        <v>3.125</v>
      </c>
      <c r="F123" s="123"/>
      <c r="G123" s="42">
        <v>38092</v>
      </c>
      <c r="H123" s="42">
        <v>39918</v>
      </c>
      <c r="I123" s="72"/>
      <c r="J123" s="2"/>
      <c r="K123" s="26" t="s">
        <v>753</v>
      </c>
      <c r="L123" s="32">
        <v>16002.805</v>
      </c>
      <c r="M123" s="17"/>
      <c r="N123" s="41">
        <v>0</v>
      </c>
      <c r="O123" s="22"/>
      <c r="P123" s="32">
        <f aca="true" t="shared" si="6" ref="P123:P128">L123+N123</f>
        <v>16002.805</v>
      </c>
      <c r="Q123" s="17"/>
    </row>
    <row r="124" spans="3:17" ht="15.75" customHeight="1">
      <c r="C124" s="108" t="s">
        <v>512</v>
      </c>
      <c r="D124" s="40" t="s">
        <v>1030</v>
      </c>
      <c r="E124" s="353">
        <v>5.5</v>
      </c>
      <c r="F124" s="123"/>
      <c r="G124" s="42">
        <v>36297</v>
      </c>
      <c r="H124" s="42">
        <v>39948</v>
      </c>
      <c r="I124" s="72"/>
      <c r="J124" s="2"/>
      <c r="K124" s="26" t="s">
        <v>752</v>
      </c>
      <c r="L124" s="32">
        <v>14794.79</v>
      </c>
      <c r="M124" s="17"/>
      <c r="N124" s="41">
        <v>0</v>
      </c>
      <c r="O124" s="22"/>
      <c r="P124" s="32">
        <f t="shared" si="6"/>
        <v>14794.79</v>
      </c>
      <c r="Q124" s="17"/>
    </row>
    <row r="125" spans="3:17" ht="15.75" customHeight="1">
      <c r="C125" s="108" t="s">
        <v>1049</v>
      </c>
      <c r="D125" s="40" t="s">
        <v>1040</v>
      </c>
      <c r="E125" s="353">
        <v>3.875</v>
      </c>
      <c r="F125" s="123"/>
      <c r="G125" s="42">
        <v>38124</v>
      </c>
      <c r="H125" s="42">
        <v>39948</v>
      </c>
      <c r="I125" s="72"/>
      <c r="J125" s="2"/>
      <c r="K125" s="26" t="s">
        <v>752</v>
      </c>
      <c r="L125" s="32">
        <v>18059.937</v>
      </c>
      <c r="M125" s="17"/>
      <c r="N125" s="41">
        <v>0</v>
      </c>
      <c r="O125" s="22"/>
      <c r="P125" s="32">
        <f t="shared" si="6"/>
        <v>18059.937</v>
      </c>
      <c r="Q125" s="17"/>
    </row>
    <row r="126" spans="3:17" ht="15.75" customHeight="1">
      <c r="C126" s="6" t="s">
        <v>820</v>
      </c>
      <c r="D126" s="40" t="s">
        <v>869</v>
      </c>
      <c r="E126" s="353">
        <v>4</v>
      </c>
      <c r="F126" s="123"/>
      <c r="G126" s="42">
        <v>38153</v>
      </c>
      <c r="H126" s="42">
        <v>39979</v>
      </c>
      <c r="I126" s="38"/>
      <c r="J126" s="2"/>
      <c r="K126" s="26" t="s">
        <v>50</v>
      </c>
      <c r="L126" s="32">
        <v>15004.754</v>
      </c>
      <c r="M126" s="17"/>
      <c r="N126" s="41">
        <v>0</v>
      </c>
      <c r="O126" s="22"/>
      <c r="P126" s="32">
        <f t="shared" si="6"/>
        <v>15004.754</v>
      </c>
      <c r="Q126" s="17"/>
    </row>
    <row r="127" spans="3:17" ht="15.75" customHeight="1">
      <c r="C127" s="6" t="s">
        <v>821</v>
      </c>
      <c r="D127" s="40" t="s">
        <v>840</v>
      </c>
      <c r="E127" s="353">
        <v>3.625</v>
      </c>
      <c r="F127" s="123"/>
      <c r="G127" s="42">
        <v>38183</v>
      </c>
      <c r="H127" s="42">
        <v>40009</v>
      </c>
      <c r="I127" s="38"/>
      <c r="J127" s="2"/>
      <c r="K127" s="26" t="s">
        <v>868</v>
      </c>
      <c r="L127" s="32">
        <v>15004.962</v>
      </c>
      <c r="M127" s="17"/>
      <c r="N127" s="41">
        <v>0</v>
      </c>
      <c r="O127" s="22"/>
      <c r="P127" s="32">
        <f t="shared" si="6"/>
        <v>15004.962</v>
      </c>
      <c r="Q127" s="17"/>
    </row>
    <row r="128" spans="3:17" ht="15.75" customHeight="1">
      <c r="C128" s="6" t="s">
        <v>1050</v>
      </c>
      <c r="D128" s="40" t="s">
        <v>1037</v>
      </c>
      <c r="E128" s="353">
        <v>6</v>
      </c>
      <c r="F128" s="123"/>
      <c r="G128" s="42">
        <v>36388</v>
      </c>
      <c r="H128" s="42">
        <v>40040</v>
      </c>
      <c r="I128" s="72"/>
      <c r="J128" s="2"/>
      <c r="K128" s="26" t="s">
        <v>839</v>
      </c>
      <c r="L128" s="32">
        <v>27399.894</v>
      </c>
      <c r="M128" s="17"/>
      <c r="N128" s="41">
        <v>0</v>
      </c>
      <c r="O128" s="22"/>
      <c r="P128" s="32">
        <f t="shared" si="6"/>
        <v>27399.894</v>
      </c>
      <c r="Q128" s="17"/>
    </row>
    <row r="129" spans="3:17" ht="15.75" customHeight="1">
      <c r="C129" s="6" t="s">
        <v>492</v>
      </c>
      <c r="D129" s="40" t="s">
        <v>841</v>
      </c>
      <c r="E129" s="353">
        <v>3.5</v>
      </c>
      <c r="F129" s="123"/>
      <c r="G129" s="42">
        <v>38215</v>
      </c>
      <c r="H129" s="42">
        <v>40040</v>
      </c>
      <c r="I129" s="72"/>
      <c r="J129" s="2"/>
      <c r="K129" s="26" t="s">
        <v>839</v>
      </c>
      <c r="L129" s="32">
        <v>17294.686</v>
      </c>
      <c r="M129" s="17"/>
      <c r="N129" s="41">
        <v>0</v>
      </c>
      <c r="O129" s="22"/>
      <c r="P129" s="32">
        <f aca="true" t="shared" si="7" ref="P129:P134">L129+N129</f>
        <v>17294.686</v>
      </c>
      <c r="Q129" s="17"/>
    </row>
    <row r="130" spans="3:17" ht="15.75" customHeight="1">
      <c r="C130" s="6" t="s">
        <v>822</v>
      </c>
      <c r="D130" s="40" t="s">
        <v>1028</v>
      </c>
      <c r="E130" s="353">
        <v>3.375</v>
      </c>
      <c r="F130" s="123"/>
      <c r="G130" s="42">
        <v>38245</v>
      </c>
      <c r="H130" s="42">
        <v>40071</v>
      </c>
      <c r="I130" s="38"/>
      <c r="J130" s="2"/>
      <c r="K130" s="26" t="s">
        <v>11</v>
      </c>
      <c r="L130" s="32">
        <v>15005.079</v>
      </c>
      <c r="M130" s="17"/>
      <c r="N130" s="41">
        <v>0</v>
      </c>
      <c r="O130" s="22"/>
      <c r="P130" s="32">
        <f t="shared" si="7"/>
        <v>15005.079</v>
      </c>
      <c r="Q130" s="17"/>
    </row>
    <row r="131" spans="3:17" ht="15.75" customHeight="1">
      <c r="C131" s="6" t="s">
        <v>823</v>
      </c>
      <c r="D131" s="40" t="s">
        <v>1032</v>
      </c>
      <c r="E131" s="353">
        <v>3.375</v>
      </c>
      <c r="F131" s="123"/>
      <c r="G131" s="42">
        <v>38275</v>
      </c>
      <c r="H131" s="42">
        <v>40101</v>
      </c>
      <c r="I131" s="38"/>
      <c r="J131" s="2"/>
      <c r="K131" s="26" t="s">
        <v>1027</v>
      </c>
      <c r="L131" s="32">
        <v>15005.091</v>
      </c>
      <c r="M131" s="17"/>
      <c r="N131" s="41">
        <v>0</v>
      </c>
      <c r="O131" s="22"/>
      <c r="P131" s="32">
        <f t="shared" si="7"/>
        <v>15005.091</v>
      </c>
      <c r="Q131" s="17"/>
    </row>
    <row r="132" spans="3:17" ht="15.75" customHeight="1">
      <c r="C132" s="6" t="s">
        <v>824</v>
      </c>
      <c r="D132" s="40" t="s">
        <v>1034</v>
      </c>
      <c r="E132" s="353">
        <v>3.5</v>
      </c>
      <c r="F132" s="123"/>
      <c r="G132" s="42">
        <v>38306</v>
      </c>
      <c r="H132" s="42">
        <v>40132</v>
      </c>
      <c r="I132" s="38"/>
      <c r="J132" s="2"/>
      <c r="K132" s="26" t="s">
        <v>1031</v>
      </c>
      <c r="L132" s="32">
        <v>18751.928</v>
      </c>
      <c r="M132" s="17"/>
      <c r="N132" s="41">
        <v>0</v>
      </c>
      <c r="O132" s="22"/>
      <c r="P132" s="32">
        <f t="shared" si="7"/>
        <v>18751.928</v>
      </c>
      <c r="Q132" s="17"/>
    </row>
    <row r="133" spans="3:17" ht="15.75" customHeight="1">
      <c r="C133" s="6" t="s">
        <v>825</v>
      </c>
      <c r="D133" s="40" t="s">
        <v>1036</v>
      </c>
      <c r="E133" s="353">
        <v>3.5</v>
      </c>
      <c r="F133" s="123"/>
      <c r="G133" s="42">
        <v>38336</v>
      </c>
      <c r="H133" s="42">
        <v>40162</v>
      </c>
      <c r="I133" s="38"/>
      <c r="J133" s="2"/>
      <c r="K133" s="26" t="s">
        <v>1068</v>
      </c>
      <c r="L133" s="32">
        <v>15002.485</v>
      </c>
      <c r="M133" s="17"/>
      <c r="N133" s="41">
        <v>0</v>
      </c>
      <c r="O133" s="22"/>
      <c r="P133" s="32">
        <f t="shared" si="7"/>
        <v>15002.485</v>
      </c>
      <c r="Q133" s="17"/>
    </row>
    <row r="134" spans="3:17" ht="15.75" customHeight="1">
      <c r="C134" s="6" t="s">
        <v>826</v>
      </c>
      <c r="D134" s="40" t="s">
        <v>867</v>
      </c>
      <c r="E134" s="353">
        <v>3.625</v>
      </c>
      <c r="F134" s="123"/>
      <c r="G134" s="42">
        <v>38370</v>
      </c>
      <c r="H134" s="42">
        <v>40193</v>
      </c>
      <c r="I134" s="38"/>
      <c r="J134" s="2"/>
      <c r="K134" s="26" t="s">
        <v>31</v>
      </c>
      <c r="L134" s="32">
        <v>15004.697</v>
      </c>
      <c r="M134" s="17"/>
      <c r="N134" s="41">
        <v>0</v>
      </c>
      <c r="O134" s="22"/>
      <c r="P134" s="32">
        <f t="shared" si="7"/>
        <v>15004.697</v>
      </c>
      <c r="Q134" s="17"/>
    </row>
    <row r="135" spans="3:17" ht="15.75" customHeight="1">
      <c r="C135" s="6" t="s">
        <v>491</v>
      </c>
      <c r="D135" s="40" t="s">
        <v>1030</v>
      </c>
      <c r="E135" s="353">
        <v>6.5</v>
      </c>
      <c r="F135" s="123"/>
      <c r="G135" s="42">
        <v>36571</v>
      </c>
      <c r="H135" s="42">
        <v>40224</v>
      </c>
      <c r="I135" s="72"/>
      <c r="J135" s="2"/>
      <c r="K135" s="26" t="s">
        <v>751</v>
      </c>
      <c r="L135" s="32">
        <v>23355.709</v>
      </c>
      <c r="M135" s="17"/>
      <c r="N135" s="41">
        <v>0</v>
      </c>
      <c r="O135" s="22"/>
      <c r="P135" s="32">
        <f aca="true" t="shared" si="8" ref="P135:P142">L135+N135</f>
        <v>23355.709</v>
      </c>
      <c r="Q135" s="17"/>
    </row>
    <row r="136" spans="3:17" ht="15.75" customHeight="1">
      <c r="C136" s="6" t="s">
        <v>170</v>
      </c>
      <c r="D136" s="40" t="s">
        <v>1026</v>
      </c>
      <c r="E136" s="353">
        <v>3.5</v>
      </c>
      <c r="F136" s="123"/>
      <c r="G136" s="42">
        <v>38398</v>
      </c>
      <c r="H136" s="42">
        <v>40224</v>
      </c>
      <c r="I136" s="72"/>
      <c r="J136" s="2"/>
      <c r="K136" s="26" t="s">
        <v>751</v>
      </c>
      <c r="L136" s="32">
        <v>16617.068</v>
      </c>
      <c r="M136" s="17"/>
      <c r="N136" s="41">
        <v>0</v>
      </c>
      <c r="O136" s="22"/>
      <c r="P136" s="32">
        <f t="shared" si="8"/>
        <v>16617.068</v>
      </c>
      <c r="Q136" s="17"/>
    </row>
    <row r="137" spans="3:17" ht="15.75" customHeight="1">
      <c r="C137" s="6" t="s">
        <v>409</v>
      </c>
      <c r="D137" s="40" t="s">
        <v>1035</v>
      </c>
      <c r="E137" s="353">
        <v>4</v>
      </c>
      <c r="F137" s="123"/>
      <c r="G137" s="42">
        <v>38426</v>
      </c>
      <c r="H137" s="42">
        <v>40252</v>
      </c>
      <c r="I137" s="72"/>
      <c r="J137" s="2"/>
      <c r="K137" s="26" t="s">
        <v>572</v>
      </c>
      <c r="L137" s="32">
        <v>15005.048</v>
      </c>
      <c r="M137" s="17"/>
      <c r="N137" s="41">
        <v>0</v>
      </c>
      <c r="O137" s="22"/>
      <c r="P137" s="32">
        <f t="shared" si="8"/>
        <v>15005.048</v>
      </c>
      <c r="Q137" s="17"/>
    </row>
    <row r="138" spans="3:17" ht="15.75" customHeight="1">
      <c r="C138" s="6" t="s">
        <v>546</v>
      </c>
      <c r="D138" s="40" t="s">
        <v>1040</v>
      </c>
      <c r="E138" s="353">
        <v>4</v>
      </c>
      <c r="F138" s="123"/>
      <c r="G138" s="42">
        <v>38457</v>
      </c>
      <c r="H138" s="42">
        <v>40283</v>
      </c>
      <c r="I138" s="72"/>
      <c r="J138" s="2"/>
      <c r="K138" s="26" t="s">
        <v>753</v>
      </c>
      <c r="L138" s="32">
        <v>15001.494</v>
      </c>
      <c r="M138" s="17"/>
      <c r="N138" s="41">
        <v>0</v>
      </c>
      <c r="O138" s="22"/>
      <c r="P138" s="32">
        <f t="shared" si="8"/>
        <v>15001.494</v>
      </c>
      <c r="Q138" s="17"/>
    </row>
    <row r="139" spans="3:17" ht="15.75" customHeight="1">
      <c r="C139" s="6" t="s">
        <v>280</v>
      </c>
      <c r="D139" s="40" t="s">
        <v>869</v>
      </c>
      <c r="E139" s="353">
        <v>3.875</v>
      </c>
      <c r="F139" s="123"/>
      <c r="G139" s="42">
        <v>38488</v>
      </c>
      <c r="H139" s="42">
        <v>40313</v>
      </c>
      <c r="I139" s="72"/>
      <c r="J139" s="2"/>
      <c r="K139" s="26" t="s">
        <v>752</v>
      </c>
      <c r="L139" s="32">
        <v>18748.844</v>
      </c>
      <c r="M139" s="17"/>
      <c r="N139" s="41">
        <v>0</v>
      </c>
      <c r="O139" s="22"/>
      <c r="P139" s="32">
        <f t="shared" si="8"/>
        <v>18748.844</v>
      </c>
      <c r="Q139" s="17"/>
    </row>
    <row r="140" spans="3:17" ht="15.75" customHeight="1">
      <c r="C140" s="6" t="s">
        <v>20</v>
      </c>
      <c r="D140" s="40" t="s">
        <v>840</v>
      </c>
      <c r="E140" s="353">
        <v>3.625</v>
      </c>
      <c r="F140" s="123"/>
      <c r="G140" s="42">
        <v>38518</v>
      </c>
      <c r="H140" s="42">
        <v>40344</v>
      </c>
      <c r="I140" s="72"/>
      <c r="J140" s="2"/>
      <c r="K140" s="26" t="s">
        <v>50</v>
      </c>
      <c r="L140" s="32">
        <v>14001.099</v>
      </c>
      <c r="M140" s="17"/>
      <c r="N140" s="41">
        <v>0</v>
      </c>
      <c r="O140" s="22"/>
      <c r="P140" s="32">
        <f>L140+N140</f>
        <v>14001.099</v>
      </c>
      <c r="Q140" s="17"/>
    </row>
    <row r="141" spans="3:17" ht="15.75" customHeight="1">
      <c r="C141" s="6" t="s">
        <v>171</v>
      </c>
      <c r="D141" s="40" t="s">
        <v>1037</v>
      </c>
      <c r="E141" s="353">
        <v>5.75</v>
      </c>
      <c r="F141" s="123"/>
      <c r="G141" s="42">
        <v>36753</v>
      </c>
      <c r="H141" s="42">
        <v>40405</v>
      </c>
      <c r="I141" s="72"/>
      <c r="J141" s="2"/>
      <c r="K141" s="26" t="s">
        <v>839</v>
      </c>
      <c r="L141" s="32">
        <v>22437.594</v>
      </c>
      <c r="M141" s="17"/>
      <c r="N141" s="41">
        <v>0</v>
      </c>
      <c r="O141" s="22"/>
      <c r="P141" s="32">
        <f t="shared" si="8"/>
        <v>22437.594</v>
      </c>
      <c r="Q141" s="17"/>
    </row>
    <row r="142" spans="3:17" ht="15.75" customHeight="1">
      <c r="C142" s="6" t="s">
        <v>1123</v>
      </c>
      <c r="D142" s="40" t="s">
        <v>1030</v>
      </c>
      <c r="E142" s="353">
        <v>5</v>
      </c>
      <c r="F142" s="123"/>
      <c r="G142" s="42">
        <v>36937</v>
      </c>
      <c r="H142" s="42">
        <v>40589</v>
      </c>
      <c r="I142" s="72"/>
      <c r="J142" s="2"/>
      <c r="K142" s="26" t="s">
        <v>751</v>
      </c>
      <c r="L142" s="32">
        <v>23436.329</v>
      </c>
      <c r="M142" s="17"/>
      <c r="N142" s="41">
        <v>0</v>
      </c>
      <c r="O142" s="22"/>
      <c r="P142" s="32">
        <f t="shared" si="8"/>
        <v>23436.329</v>
      </c>
      <c r="Q142" s="17"/>
    </row>
    <row r="143" spans="3:17" ht="15.75" customHeight="1">
      <c r="C143" s="6" t="s">
        <v>1124</v>
      </c>
      <c r="D143" s="40" t="s">
        <v>1037</v>
      </c>
      <c r="E143" s="353">
        <v>5</v>
      </c>
      <c r="F143" s="123"/>
      <c r="G143" s="42">
        <v>37118</v>
      </c>
      <c r="H143" s="42">
        <v>40770</v>
      </c>
      <c r="I143" s="72"/>
      <c r="J143" s="2"/>
      <c r="K143" s="26" t="s">
        <v>839</v>
      </c>
      <c r="L143" s="32">
        <v>26635.316</v>
      </c>
      <c r="M143" s="17"/>
      <c r="N143" s="41">
        <v>0</v>
      </c>
      <c r="O143" s="22"/>
      <c r="P143" s="32">
        <f aca="true" t="shared" si="9" ref="P143:P148">L143+N143</f>
        <v>26635.316</v>
      </c>
      <c r="Q143" s="17"/>
    </row>
    <row r="144" spans="3:17" ht="15.75" customHeight="1">
      <c r="C144" s="6" t="s">
        <v>1125</v>
      </c>
      <c r="D144" s="40" t="s">
        <v>1030</v>
      </c>
      <c r="E144" s="353">
        <v>4.875</v>
      </c>
      <c r="F144" s="123"/>
      <c r="G144" s="42">
        <v>37302</v>
      </c>
      <c r="H144" s="42">
        <v>40954</v>
      </c>
      <c r="I144" s="72"/>
      <c r="J144" s="2"/>
      <c r="K144" s="26" t="s">
        <v>751</v>
      </c>
      <c r="L144" s="32">
        <v>24779.838</v>
      </c>
      <c r="M144" s="17"/>
      <c r="N144" s="41">
        <v>0</v>
      </c>
      <c r="O144" s="22"/>
      <c r="P144" s="32">
        <f t="shared" si="9"/>
        <v>24779.838</v>
      </c>
      <c r="Q144" s="17"/>
    </row>
    <row r="145" spans="3:17" ht="15.75" customHeight="1">
      <c r="C145" s="6" t="s">
        <v>849</v>
      </c>
      <c r="D145" s="40" t="s">
        <v>1042</v>
      </c>
      <c r="E145" s="353">
        <v>4.375</v>
      </c>
      <c r="F145" s="123"/>
      <c r="G145" s="42">
        <v>37483</v>
      </c>
      <c r="H145" s="42">
        <v>41136</v>
      </c>
      <c r="I145" s="72"/>
      <c r="J145" s="2"/>
      <c r="K145" s="26" t="s">
        <v>839</v>
      </c>
      <c r="L145" s="32">
        <v>19647.976</v>
      </c>
      <c r="M145" s="17"/>
      <c r="N145" s="41">
        <v>0</v>
      </c>
      <c r="O145" s="22"/>
      <c r="P145" s="32">
        <f t="shared" si="9"/>
        <v>19647.976</v>
      </c>
      <c r="Q145" s="17"/>
    </row>
    <row r="146" spans="3:17" ht="15.75" customHeight="1">
      <c r="C146" s="6" t="s">
        <v>827</v>
      </c>
      <c r="D146" s="40" t="s">
        <v>867</v>
      </c>
      <c r="E146" s="353">
        <v>4</v>
      </c>
      <c r="F146" s="123"/>
      <c r="G146" s="42">
        <v>37575</v>
      </c>
      <c r="H146" s="42">
        <v>41228</v>
      </c>
      <c r="I146" s="72"/>
      <c r="J146" s="2"/>
      <c r="K146" s="26" t="s">
        <v>1031</v>
      </c>
      <c r="L146" s="32">
        <v>18112.742</v>
      </c>
      <c r="M146" s="17"/>
      <c r="N146" s="41">
        <v>0</v>
      </c>
      <c r="O146" s="22"/>
      <c r="P146" s="32">
        <f t="shared" si="9"/>
        <v>18112.742</v>
      </c>
      <c r="Q146" s="17"/>
    </row>
    <row r="147" spans="3:17" ht="15.75" customHeight="1">
      <c r="C147" s="6" t="s">
        <v>828</v>
      </c>
      <c r="D147" s="40" t="s">
        <v>871</v>
      </c>
      <c r="E147" s="353">
        <v>3.875</v>
      </c>
      <c r="F147" s="123"/>
      <c r="G147" s="42">
        <v>37670</v>
      </c>
      <c r="H147" s="42">
        <v>41320</v>
      </c>
      <c r="I147" s="72"/>
      <c r="J147" s="2"/>
      <c r="K147" s="26" t="s">
        <v>751</v>
      </c>
      <c r="L147" s="32">
        <v>19498.396</v>
      </c>
      <c r="M147" s="17"/>
      <c r="N147" s="41">
        <v>0</v>
      </c>
      <c r="O147" s="22"/>
      <c r="P147" s="32">
        <f t="shared" si="9"/>
        <v>19498.396</v>
      </c>
      <c r="Q147" s="17"/>
    </row>
    <row r="148" spans="3:17" ht="15.75" customHeight="1">
      <c r="C148" s="6" t="s">
        <v>829</v>
      </c>
      <c r="D148" s="40" t="s">
        <v>1030</v>
      </c>
      <c r="E148" s="353">
        <v>3.625</v>
      </c>
      <c r="F148" s="123"/>
      <c r="G148" s="42">
        <v>37756</v>
      </c>
      <c r="H148" s="42">
        <v>41409</v>
      </c>
      <c r="I148" s="72"/>
      <c r="J148" s="2"/>
      <c r="K148" s="26" t="s">
        <v>752</v>
      </c>
      <c r="L148" s="32">
        <v>18253.553</v>
      </c>
      <c r="M148" s="17"/>
      <c r="N148" s="41">
        <v>0</v>
      </c>
      <c r="O148" s="22"/>
      <c r="P148" s="32">
        <f t="shared" si="9"/>
        <v>18253.553</v>
      </c>
      <c r="Q148" s="17"/>
    </row>
    <row r="149" spans="3:17" ht="15.75" customHeight="1">
      <c r="C149" s="6" t="s">
        <v>830</v>
      </c>
      <c r="D149" s="40" t="s">
        <v>1042</v>
      </c>
      <c r="E149" s="353">
        <v>4.25</v>
      </c>
      <c r="F149" s="123"/>
      <c r="G149" s="42">
        <v>37848</v>
      </c>
      <c r="H149" s="42">
        <v>41501</v>
      </c>
      <c r="I149" s="72"/>
      <c r="J149" s="2"/>
      <c r="K149" s="26" t="s">
        <v>839</v>
      </c>
      <c r="L149" s="32">
        <v>33521.123</v>
      </c>
      <c r="M149" s="17"/>
      <c r="N149" s="41">
        <v>0</v>
      </c>
      <c r="O149" s="22"/>
      <c r="P149" s="32">
        <f aca="true" t="shared" si="10" ref="P149:P154">L149</f>
        <v>33521.123</v>
      </c>
      <c r="Q149" s="17"/>
    </row>
    <row r="150" spans="3:17" ht="15.75" customHeight="1">
      <c r="C150" s="6" t="s">
        <v>831</v>
      </c>
      <c r="D150" s="40" t="s">
        <v>867</v>
      </c>
      <c r="E150" s="353">
        <v>4.25</v>
      </c>
      <c r="F150" s="123"/>
      <c r="G150" s="42">
        <v>37942</v>
      </c>
      <c r="H150" s="42">
        <v>41593</v>
      </c>
      <c r="I150" s="72"/>
      <c r="J150" s="2"/>
      <c r="K150" s="26" t="s">
        <v>1031</v>
      </c>
      <c r="L150" s="32">
        <v>30636.844</v>
      </c>
      <c r="M150" s="17"/>
      <c r="N150" s="41">
        <v>0</v>
      </c>
      <c r="O150" s="22"/>
      <c r="P150" s="32">
        <f t="shared" si="10"/>
        <v>30636.844</v>
      </c>
      <c r="Q150" s="17"/>
    </row>
    <row r="151" spans="3:17" ht="15.75" customHeight="1">
      <c r="C151" s="6" t="s">
        <v>832</v>
      </c>
      <c r="D151" s="40" t="s">
        <v>1030</v>
      </c>
      <c r="E151" s="353">
        <v>4</v>
      </c>
      <c r="F151" s="123"/>
      <c r="G151" s="42">
        <v>38034</v>
      </c>
      <c r="H151" s="42">
        <v>41685</v>
      </c>
      <c r="I151" s="72"/>
      <c r="J151" s="2"/>
      <c r="K151" s="26" t="s">
        <v>751</v>
      </c>
      <c r="L151" s="32">
        <v>28081.066</v>
      </c>
      <c r="M151" s="17"/>
      <c r="N151" s="41">
        <v>0</v>
      </c>
      <c r="O151" s="22"/>
      <c r="P151" s="32">
        <f t="shared" si="10"/>
        <v>28081.066</v>
      </c>
      <c r="Q151" s="17"/>
    </row>
    <row r="152" spans="3:17" ht="15.75" customHeight="1">
      <c r="C152" s="6" t="s">
        <v>833</v>
      </c>
      <c r="D152" s="40" t="s">
        <v>1037</v>
      </c>
      <c r="E152" s="353">
        <v>4.75</v>
      </c>
      <c r="F152" s="123"/>
      <c r="G152" s="42">
        <v>38124</v>
      </c>
      <c r="H152" s="42">
        <v>41774</v>
      </c>
      <c r="I152" s="72"/>
      <c r="J152" s="2"/>
      <c r="K152" s="26" t="s">
        <v>752</v>
      </c>
      <c r="L152" s="32">
        <v>27302.981</v>
      </c>
      <c r="M152" s="17"/>
      <c r="N152" s="41">
        <v>0</v>
      </c>
      <c r="O152" s="22"/>
      <c r="P152" s="32">
        <f t="shared" si="10"/>
        <v>27302.981</v>
      </c>
      <c r="Q152" s="17"/>
    </row>
    <row r="153" spans="3:17" ht="15.75" customHeight="1">
      <c r="C153" s="6" t="s">
        <v>1120</v>
      </c>
      <c r="D153" s="40" t="s">
        <v>867</v>
      </c>
      <c r="E153" s="353">
        <v>4.25</v>
      </c>
      <c r="F153" s="123"/>
      <c r="G153" s="42">
        <v>38215</v>
      </c>
      <c r="H153" s="42">
        <v>41866</v>
      </c>
      <c r="I153" s="72"/>
      <c r="J153" s="2"/>
      <c r="K153" s="26" t="s">
        <v>839</v>
      </c>
      <c r="L153" s="32">
        <v>24721.634</v>
      </c>
      <c r="M153" s="17"/>
      <c r="N153" s="41">
        <v>0</v>
      </c>
      <c r="O153" s="22"/>
      <c r="P153" s="32">
        <f t="shared" si="10"/>
        <v>24721.634</v>
      </c>
      <c r="Q153" s="17"/>
    </row>
    <row r="154" spans="3:17" ht="15.75" customHeight="1">
      <c r="C154" s="6" t="s">
        <v>1121</v>
      </c>
      <c r="D154" s="40" t="s">
        <v>1026</v>
      </c>
      <c r="E154" s="353">
        <v>4.25</v>
      </c>
      <c r="F154" s="123"/>
      <c r="G154" s="42">
        <v>38306</v>
      </c>
      <c r="H154" s="42">
        <v>41958</v>
      </c>
      <c r="I154" s="72"/>
      <c r="J154" s="2"/>
      <c r="K154" s="26" t="s">
        <v>1031</v>
      </c>
      <c r="L154" s="32">
        <v>25472.536</v>
      </c>
      <c r="M154" s="17"/>
      <c r="N154" s="41">
        <v>0</v>
      </c>
      <c r="O154" s="22"/>
      <c r="P154" s="32">
        <f t="shared" si="10"/>
        <v>25472.536</v>
      </c>
      <c r="Q154" s="17"/>
    </row>
    <row r="155" spans="3:17" ht="15.75" customHeight="1">
      <c r="C155" s="6" t="s">
        <v>1122</v>
      </c>
      <c r="D155" s="40" t="s">
        <v>1030</v>
      </c>
      <c r="E155" s="353">
        <v>4</v>
      </c>
      <c r="F155" s="123"/>
      <c r="G155" s="42">
        <v>38398</v>
      </c>
      <c r="H155" s="42">
        <v>42050</v>
      </c>
      <c r="I155" s="72"/>
      <c r="J155" s="2"/>
      <c r="K155" s="26" t="s">
        <v>751</v>
      </c>
      <c r="L155" s="32">
        <v>24214.991</v>
      </c>
      <c r="M155" s="17"/>
      <c r="N155" s="412">
        <v>0</v>
      </c>
      <c r="O155" s="22"/>
      <c r="P155" s="32">
        <f>L155</f>
        <v>24214.991</v>
      </c>
      <c r="Q155" s="17"/>
    </row>
    <row r="156" spans="3:17" ht="15.75" customHeight="1">
      <c r="C156" s="6" t="s">
        <v>282</v>
      </c>
      <c r="D156" s="40" t="s">
        <v>1037</v>
      </c>
      <c r="E156" s="353">
        <v>4.125</v>
      </c>
      <c r="F156" s="123"/>
      <c r="G156" s="42">
        <v>38488</v>
      </c>
      <c r="H156" s="42">
        <v>42139</v>
      </c>
      <c r="I156" s="72"/>
      <c r="J156" s="2"/>
      <c r="K156" s="26" t="s">
        <v>752</v>
      </c>
      <c r="L156" s="32">
        <v>24471.849</v>
      </c>
      <c r="M156" s="17"/>
      <c r="N156" s="411">
        <v>0</v>
      </c>
      <c r="O156" s="22"/>
      <c r="P156" s="32">
        <f>L156</f>
        <v>24471.849</v>
      </c>
      <c r="Q156" s="17"/>
    </row>
    <row r="157" spans="2:17" ht="15.75" customHeight="1">
      <c r="B157" s="6" t="s">
        <v>506</v>
      </c>
      <c r="F157" s="35"/>
      <c r="G157" s="12" t="s">
        <v>758</v>
      </c>
      <c r="H157" s="38" t="s">
        <v>759</v>
      </c>
      <c r="I157" s="38" t="s">
        <v>759</v>
      </c>
      <c r="J157" s="2"/>
      <c r="K157" s="26" t="s">
        <v>861</v>
      </c>
      <c r="L157" s="46">
        <f>SUM(L56:L156)</f>
        <v>2273012.994</v>
      </c>
      <c r="M157" s="180"/>
      <c r="N157" s="46">
        <f>SUM(N55:N156)</f>
        <v>0</v>
      </c>
      <c r="O157" s="181"/>
      <c r="P157" s="186">
        <f>L157+N157</f>
        <v>2273012.994</v>
      </c>
      <c r="Q157" s="180"/>
    </row>
    <row r="158" spans="2:17" ht="15.75" customHeight="1">
      <c r="B158" t="s">
        <v>270</v>
      </c>
      <c r="G158" s="12" t="s">
        <v>758</v>
      </c>
      <c r="H158" s="38" t="s">
        <v>759</v>
      </c>
      <c r="I158" s="38" t="s">
        <v>759</v>
      </c>
      <c r="J158" s="2"/>
      <c r="K158" s="26" t="s">
        <v>861</v>
      </c>
      <c r="L158" s="46">
        <v>48.229</v>
      </c>
      <c r="M158" s="216"/>
      <c r="N158" s="41">
        <v>0</v>
      </c>
      <c r="O158" s="181"/>
      <c r="P158" s="186">
        <f>L158+N158</f>
        <v>48.229</v>
      </c>
      <c r="Q158" s="180"/>
    </row>
    <row r="159" spans="2:17" ht="15.75" customHeight="1" thickBot="1">
      <c r="B159" s="61" t="s">
        <v>507</v>
      </c>
      <c r="F159" s="35"/>
      <c r="G159" s="12" t="s">
        <v>758</v>
      </c>
      <c r="H159" s="38" t="s">
        <v>759</v>
      </c>
      <c r="I159" s="38" t="s">
        <v>759</v>
      </c>
      <c r="J159" s="2"/>
      <c r="K159" s="26" t="s">
        <v>861</v>
      </c>
      <c r="L159" s="184">
        <f>SUM(L157:L158)</f>
        <v>2273061.2229999998</v>
      </c>
      <c r="M159" s="185"/>
      <c r="N159" s="184">
        <f>SUM(N157:N158)</f>
        <v>0</v>
      </c>
      <c r="O159" s="187"/>
      <c r="P159" s="184">
        <f>L159+N159</f>
        <v>2273061.2229999998</v>
      </c>
      <c r="Q159" s="185"/>
    </row>
    <row r="160" spans="6:17" ht="15.75" customHeight="1" thickTop="1">
      <c r="F160" s="35"/>
      <c r="G160" s="76"/>
      <c r="H160" s="153"/>
      <c r="I160" s="153"/>
      <c r="J160" s="2"/>
      <c r="K160" s="107"/>
      <c r="L160" s="85"/>
      <c r="M160" s="85"/>
      <c r="N160" s="86"/>
      <c r="O160" s="86"/>
      <c r="P160" s="85"/>
      <c r="Q160" s="85"/>
    </row>
    <row r="161" spans="6:17" ht="15.75" customHeight="1">
      <c r="F161" s="35"/>
      <c r="G161" s="76"/>
      <c r="H161" s="153"/>
      <c r="I161" s="153"/>
      <c r="J161" s="2"/>
      <c r="K161" s="107"/>
      <c r="L161" s="85"/>
      <c r="M161" s="85"/>
      <c r="N161" s="86"/>
      <c r="O161" s="86"/>
      <c r="P161" s="85"/>
      <c r="Q161" s="85"/>
    </row>
    <row r="162" spans="6:17" ht="15.75" customHeight="1">
      <c r="F162" s="35"/>
      <c r="G162" s="76"/>
      <c r="H162" s="153"/>
      <c r="I162" s="153"/>
      <c r="J162" s="2"/>
      <c r="K162" s="107"/>
      <c r="L162" s="85"/>
      <c r="M162" s="85"/>
      <c r="N162" s="86"/>
      <c r="O162" s="86"/>
      <c r="P162" s="85"/>
      <c r="Q162" s="85"/>
    </row>
    <row r="163" spans="6:17" ht="15.75" customHeight="1">
      <c r="F163" s="35"/>
      <c r="G163" s="76"/>
      <c r="H163" s="153"/>
      <c r="I163" s="153"/>
      <c r="J163" s="2"/>
      <c r="K163" s="107"/>
      <c r="L163" s="85"/>
      <c r="M163" s="85"/>
      <c r="N163" s="86"/>
      <c r="O163" s="86"/>
      <c r="P163" s="85"/>
      <c r="Q163" s="85"/>
    </row>
    <row r="164" spans="6:17" ht="15.75" customHeight="1">
      <c r="F164" s="35"/>
      <c r="G164" s="76"/>
      <c r="H164" s="153"/>
      <c r="I164" s="153"/>
      <c r="J164" s="2"/>
      <c r="K164" s="107"/>
      <c r="L164" s="85"/>
      <c r="M164" s="85"/>
      <c r="N164" s="86"/>
      <c r="O164" s="86"/>
      <c r="P164" s="85"/>
      <c r="Q164" s="85"/>
    </row>
    <row r="165" spans="1:17" ht="15.75" customHeight="1" thickBot="1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1:17" s="367" customFormat="1" ht="27.75" customHeight="1" thickBot="1" thickTop="1">
      <c r="A166" s="368">
        <v>4</v>
      </c>
      <c r="B166" s="369" t="str">
        <f>B83</f>
        <v>TABLE III - DETAIL OF TREASURY SECURITIES OUTSTANDING, JUNE 30, 2005 -- Continued</v>
      </c>
      <c r="C166" s="370"/>
      <c r="D166" s="370"/>
      <c r="E166" s="370"/>
      <c r="F166" s="370"/>
      <c r="G166" s="370"/>
      <c r="H166" s="370"/>
      <c r="I166" s="370"/>
      <c r="J166" s="370"/>
      <c r="K166" s="370"/>
      <c r="L166" s="370"/>
      <c r="M166" s="370"/>
      <c r="N166" s="370"/>
      <c r="O166" s="370"/>
      <c r="P166" s="370"/>
      <c r="Q166" s="371"/>
    </row>
    <row r="167" spans="3:17" ht="30.75" customHeight="1" thickTop="1">
      <c r="C167" s="71"/>
      <c r="G167" s="12" t="s">
        <v>845</v>
      </c>
      <c r="H167" s="12" t="s">
        <v>105</v>
      </c>
      <c r="I167" s="12" t="s">
        <v>104</v>
      </c>
      <c r="J167" s="24"/>
      <c r="K167" s="26" t="s">
        <v>846</v>
      </c>
      <c r="L167" s="12" t="s">
        <v>101</v>
      </c>
      <c r="M167" s="2"/>
      <c r="N167" s="2"/>
      <c r="O167" s="2"/>
      <c r="P167" s="2"/>
      <c r="Q167" s="2"/>
    </row>
    <row r="168" spans="1:12" ht="15.75" customHeight="1">
      <c r="A168" s="2" t="s">
        <v>102</v>
      </c>
      <c r="B168" s="2"/>
      <c r="C168" s="2"/>
      <c r="D168" s="2"/>
      <c r="E168" s="2"/>
      <c r="F168" s="2"/>
      <c r="G168" s="26" t="s">
        <v>103</v>
      </c>
      <c r="H168" s="26"/>
      <c r="I168" s="441"/>
      <c r="J168" s="442"/>
      <c r="K168" s="26" t="s">
        <v>105</v>
      </c>
      <c r="L168" s="10"/>
    </row>
    <row r="169" spans="1:17" ht="16.5" customHeight="1">
      <c r="A169" s="11"/>
      <c r="B169" s="11"/>
      <c r="C169" s="11"/>
      <c r="D169" s="11"/>
      <c r="E169" s="11"/>
      <c r="F169" s="11"/>
      <c r="G169" s="27"/>
      <c r="H169" s="27"/>
      <c r="I169" s="27"/>
      <c r="J169" s="28"/>
      <c r="K169" s="49"/>
      <c r="L169" s="29" t="s">
        <v>106</v>
      </c>
      <c r="M169" s="30"/>
      <c r="N169" s="29" t="s">
        <v>83</v>
      </c>
      <c r="O169" s="30"/>
      <c r="P169" s="29" t="s">
        <v>65</v>
      </c>
      <c r="Q169" s="30"/>
    </row>
    <row r="170" spans="7:16" ht="0.75" customHeight="1" hidden="1">
      <c r="G170" s="10"/>
      <c r="H170" s="10"/>
      <c r="I170" s="10"/>
      <c r="J170" s="25"/>
      <c r="K170" s="26"/>
      <c r="L170" s="10"/>
      <c r="N170" s="10"/>
      <c r="P170" s="10"/>
    </row>
    <row r="171" spans="1:17" ht="33.75" customHeight="1">
      <c r="A171" s="48" t="s">
        <v>967</v>
      </c>
      <c r="B171" s="48"/>
      <c r="G171" s="14"/>
      <c r="H171" s="14"/>
      <c r="I171" s="14"/>
      <c r="J171" s="31"/>
      <c r="K171" s="54"/>
      <c r="L171" s="10"/>
      <c r="N171" s="10"/>
      <c r="P171" s="32"/>
      <c r="Q171" s="17"/>
    </row>
    <row r="172" spans="2:16" ht="21" customHeight="1">
      <c r="B172" s="6" t="s">
        <v>177</v>
      </c>
      <c r="C172" s="35"/>
      <c r="D172" s="124" t="s">
        <v>371</v>
      </c>
      <c r="F172" s="15"/>
      <c r="G172" s="37"/>
      <c r="H172" s="37"/>
      <c r="I172" s="37"/>
      <c r="K172" s="26"/>
      <c r="L172" s="10"/>
      <c r="N172" s="10"/>
      <c r="P172" s="32" t="s">
        <v>62</v>
      </c>
    </row>
    <row r="173" spans="2:17" ht="17.25" customHeight="1">
      <c r="B173" s="6" t="s">
        <v>86</v>
      </c>
      <c r="D173" s="2"/>
      <c r="E173" s="2" t="s">
        <v>864</v>
      </c>
      <c r="F173" s="2"/>
      <c r="G173" s="56"/>
      <c r="H173" s="37"/>
      <c r="I173" s="37"/>
      <c r="K173" s="54"/>
      <c r="L173" s="10"/>
      <c r="N173" s="10"/>
      <c r="P173" s="32"/>
      <c r="Q173" s="17"/>
    </row>
    <row r="174" spans="3:17" ht="15.75" customHeight="1">
      <c r="C174" s="6" t="s">
        <v>1128</v>
      </c>
      <c r="E174" s="353">
        <v>10.75</v>
      </c>
      <c r="G174" s="42">
        <v>31230</v>
      </c>
      <c r="H174" s="101">
        <v>38579</v>
      </c>
      <c r="I174" s="101"/>
      <c r="J174" s="129"/>
      <c r="K174" s="26" t="s">
        <v>839</v>
      </c>
      <c r="L174" s="32">
        <v>9269.713</v>
      </c>
      <c r="M174" s="17"/>
      <c r="N174" s="41">
        <v>0</v>
      </c>
      <c r="O174" s="22"/>
      <c r="P174" s="32">
        <f aca="true" t="shared" si="11" ref="P174:P182">L174+N174</f>
        <v>9269.713</v>
      </c>
      <c r="Q174" s="17"/>
    </row>
    <row r="175" spans="3:17" ht="15.75" customHeight="1">
      <c r="C175" s="6" t="s">
        <v>1129</v>
      </c>
      <c r="E175" s="353">
        <v>12.75</v>
      </c>
      <c r="F175" s="123">
        <v>8</v>
      </c>
      <c r="G175" s="38">
        <v>29542</v>
      </c>
      <c r="H175" s="101">
        <v>40497</v>
      </c>
      <c r="I175" s="84">
        <v>38671</v>
      </c>
      <c r="J175" s="128">
        <v>9</v>
      </c>
      <c r="K175" s="26" t="s">
        <v>1031</v>
      </c>
      <c r="L175" s="32">
        <v>4736.37</v>
      </c>
      <c r="M175" s="17"/>
      <c r="N175" s="41">
        <v>-655</v>
      </c>
      <c r="O175" s="22"/>
      <c r="P175" s="32">
        <f t="shared" si="11"/>
        <v>4081.37</v>
      </c>
      <c r="Q175" s="17"/>
    </row>
    <row r="176" spans="2:17" ht="15.75" customHeight="1">
      <c r="B176" s="6"/>
      <c r="C176" s="6" t="s">
        <v>1130</v>
      </c>
      <c r="E176" s="353">
        <v>9.375</v>
      </c>
      <c r="G176" s="38">
        <v>31427</v>
      </c>
      <c r="H176" s="101">
        <v>38763</v>
      </c>
      <c r="I176" s="101"/>
      <c r="J176" s="130"/>
      <c r="K176" s="26" t="s">
        <v>751</v>
      </c>
      <c r="L176" s="32">
        <v>4755.916</v>
      </c>
      <c r="M176" s="17"/>
      <c r="N176" s="41">
        <v>0</v>
      </c>
      <c r="O176" s="22"/>
      <c r="P176" s="32">
        <f t="shared" si="11"/>
        <v>4755.916</v>
      </c>
      <c r="Q176" s="17"/>
    </row>
    <row r="177" spans="2:17" ht="15.75" customHeight="1">
      <c r="B177" s="6"/>
      <c r="C177" s="6" t="s">
        <v>1131</v>
      </c>
      <c r="E177" s="353">
        <v>13.875</v>
      </c>
      <c r="F177" s="123">
        <v>8</v>
      </c>
      <c r="G177" s="38">
        <v>29721</v>
      </c>
      <c r="H177" s="101">
        <v>40678</v>
      </c>
      <c r="I177" s="84">
        <v>38852</v>
      </c>
      <c r="J177" s="128">
        <v>9</v>
      </c>
      <c r="K177" s="26" t="s">
        <v>752</v>
      </c>
      <c r="L177" s="32">
        <v>4608.503</v>
      </c>
      <c r="M177" s="17"/>
      <c r="N177" s="41">
        <v>-1064</v>
      </c>
      <c r="O177" s="22"/>
      <c r="P177" s="32">
        <f t="shared" si="11"/>
        <v>3544.5029999999997</v>
      </c>
      <c r="Q177" s="17"/>
    </row>
    <row r="178" spans="3:17" ht="15.75" customHeight="1">
      <c r="C178" s="6" t="s">
        <v>1132</v>
      </c>
      <c r="E178" s="353">
        <v>14</v>
      </c>
      <c r="F178" s="123">
        <v>8</v>
      </c>
      <c r="G178" s="38">
        <v>29906</v>
      </c>
      <c r="H178" s="101">
        <v>40862</v>
      </c>
      <c r="I178" s="84">
        <v>39036</v>
      </c>
      <c r="J178" s="128">
        <v>9</v>
      </c>
      <c r="K178" s="26" t="s">
        <v>1031</v>
      </c>
      <c r="L178" s="32">
        <v>4900.545</v>
      </c>
      <c r="M178" s="17"/>
      <c r="N178" s="41">
        <v>-852.1</v>
      </c>
      <c r="O178" s="22"/>
      <c r="P178" s="32">
        <f t="shared" si="11"/>
        <v>4048.445</v>
      </c>
      <c r="Q178" s="17"/>
    </row>
    <row r="179" spans="3:17" ht="15.75" customHeight="1">
      <c r="C179" s="6" t="s">
        <v>1133</v>
      </c>
      <c r="E179" s="353">
        <v>10.375</v>
      </c>
      <c r="F179" s="123">
        <v>8</v>
      </c>
      <c r="G179" s="38">
        <v>30270</v>
      </c>
      <c r="H179" s="101">
        <v>41228</v>
      </c>
      <c r="I179" s="84">
        <v>39401</v>
      </c>
      <c r="J179" s="128">
        <v>9</v>
      </c>
      <c r="K179" s="26" t="s">
        <v>1031</v>
      </c>
      <c r="L179" s="32">
        <v>11031.518</v>
      </c>
      <c r="M179" s="17"/>
      <c r="N179" s="41">
        <v>-905.5</v>
      </c>
      <c r="O179" s="17"/>
      <c r="P179" s="32">
        <f t="shared" si="11"/>
        <v>10126.018</v>
      </c>
      <c r="Q179" s="17"/>
    </row>
    <row r="180" spans="3:17" ht="15.75" customHeight="1">
      <c r="C180" s="6" t="s">
        <v>1134</v>
      </c>
      <c r="E180" s="353">
        <v>12</v>
      </c>
      <c r="F180" s="123">
        <v>8</v>
      </c>
      <c r="G180" s="38">
        <v>30543</v>
      </c>
      <c r="H180" s="101">
        <v>41501</v>
      </c>
      <c r="I180" s="84">
        <v>39675</v>
      </c>
      <c r="J180" s="128">
        <v>9</v>
      </c>
      <c r="K180" s="26" t="s">
        <v>839</v>
      </c>
      <c r="L180" s="32">
        <v>14755.363</v>
      </c>
      <c r="M180" s="17"/>
      <c r="N180" s="41">
        <v>-2838.3</v>
      </c>
      <c r="O180" s="152"/>
      <c r="P180" s="32">
        <f t="shared" si="11"/>
        <v>11917.062999999998</v>
      </c>
      <c r="Q180" s="17"/>
    </row>
    <row r="181" spans="3:17" ht="15.75" customHeight="1">
      <c r="C181" s="6" t="s">
        <v>1135</v>
      </c>
      <c r="E181" s="353">
        <v>13.25</v>
      </c>
      <c r="F181" s="123">
        <v>8</v>
      </c>
      <c r="G181" s="38">
        <v>30817</v>
      </c>
      <c r="H181" s="101">
        <v>41774</v>
      </c>
      <c r="I181" s="84">
        <v>39948</v>
      </c>
      <c r="J181" s="128">
        <v>9</v>
      </c>
      <c r="K181" s="26" t="s">
        <v>752</v>
      </c>
      <c r="L181" s="32">
        <v>5007.367</v>
      </c>
      <c r="M181" s="17"/>
      <c r="N181" s="41">
        <v>-526.6</v>
      </c>
      <c r="O181" s="22"/>
      <c r="P181" s="32">
        <f t="shared" si="11"/>
        <v>4480.767</v>
      </c>
      <c r="Q181" s="17"/>
    </row>
    <row r="182" spans="3:17" ht="15.75" customHeight="1">
      <c r="C182" s="6" t="s">
        <v>1136</v>
      </c>
      <c r="E182" s="353">
        <v>12.5</v>
      </c>
      <c r="F182" s="123">
        <v>8</v>
      </c>
      <c r="G182" s="38">
        <v>30909</v>
      </c>
      <c r="H182" s="101">
        <v>41866</v>
      </c>
      <c r="I182" s="84">
        <v>40040</v>
      </c>
      <c r="J182" s="128">
        <v>9</v>
      </c>
      <c r="K182" s="26" t="s">
        <v>839</v>
      </c>
      <c r="L182" s="32">
        <v>5128.392</v>
      </c>
      <c r="M182" s="17"/>
      <c r="N182" s="41">
        <v>-740.4</v>
      </c>
      <c r="O182" s="22"/>
      <c r="P182" s="32">
        <f t="shared" si="11"/>
        <v>4387.992</v>
      </c>
      <c r="Q182" s="17"/>
    </row>
    <row r="183" spans="3:17" ht="15.75" customHeight="1">
      <c r="C183" s="6" t="s">
        <v>1137</v>
      </c>
      <c r="E183" s="353">
        <v>11.75</v>
      </c>
      <c r="F183" s="123"/>
      <c r="G183" s="38">
        <v>31001</v>
      </c>
      <c r="H183" s="101">
        <v>41958</v>
      </c>
      <c r="I183" s="84">
        <v>40132</v>
      </c>
      <c r="J183" s="128">
        <v>9</v>
      </c>
      <c r="K183" s="26" t="s">
        <v>1031</v>
      </c>
      <c r="L183" s="32">
        <v>6005.584</v>
      </c>
      <c r="M183" s="17"/>
      <c r="N183" s="41">
        <v>-990.3</v>
      </c>
      <c r="O183" s="152"/>
      <c r="P183" s="32">
        <f>L183+N183</f>
        <v>5015.284</v>
      </c>
      <c r="Q183" s="17"/>
    </row>
    <row r="184" spans="3:17" ht="15.75" customHeight="1">
      <c r="C184" s="6" t="s">
        <v>1138</v>
      </c>
      <c r="E184" s="353">
        <v>11.25</v>
      </c>
      <c r="F184" s="123"/>
      <c r="G184" s="38">
        <v>31093</v>
      </c>
      <c r="H184" s="109">
        <v>42050</v>
      </c>
      <c r="I184" s="109"/>
      <c r="J184" s="2"/>
      <c r="K184" s="26" t="s">
        <v>751</v>
      </c>
      <c r="L184" s="32">
        <v>12667.799</v>
      </c>
      <c r="M184" s="17"/>
      <c r="N184" s="41">
        <v>-2147.5</v>
      </c>
      <c r="O184" s="22"/>
      <c r="P184" s="32">
        <f>L184+N184</f>
        <v>10520.299</v>
      </c>
      <c r="Q184" s="17"/>
    </row>
    <row r="185" spans="3:17" ht="15.75" customHeight="1">
      <c r="C185" s="6" t="s">
        <v>1139</v>
      </c>
      <c r="E185" s="353">
        <v>10.625</v>
      </c>
      <c r="F185" s="123"/>
      <c r="G185" s="38">
        <v>31274</v>
      </c>
      <c r="H185" s="109">
        <v>42231</v>
      </c>
      <c r="I185" s="109"/>
      <c r="J185" s="2"/>
      <c r="K185" s="26" t="s">
        <v>839</v>
      </c>
      <c r="L185" s="32">
        <v>7149.916</v>
      </c>
      <c r="M185" s="17"/>
      <c r="N185" s="41">
        <v>-3126</v>
      </c>
      <c r="O185" s="22"/>
      <c r="P185" s="32">
        <f>L185+N185</f>
        <v>4023.916</v>
      </c>
      <c r="Q185" s="17"/>
    </row>
    <row r="186" spans="3:17" ht="15.75" customHeight="1">
      <c r="C186" s="6" t="s">
        <v>1140</v>
      </c>
      <c r="E186" s="353">
        <v>9.875</v>
      </c>
      <c r="F186" s="123"/>
      <c r="G186" s="38">
        <v>31380</v>
      </c>
      <c r="H186" s="109">
        <v>42323</v>
      </c>
      <c r="I186" s="109"/>
      <c r="J186" s="2"/>
      <c r="K186" s="26" t="s">
        <v>1031</v>
      </c>
      <c r="L186" s="32">
        <v>6899.859</v>
      </c>
      <c r="M186" s="17"/>
      <c r="N186" s="41">
        <v>-1315</v>
      </c>
      <c r="O186" s="22"/>
      <c r="P186" s="32">
        <f>L186+N186</f>
        <v>5584.859</v>
      </c>
      <c r="Q186" s="17"/>
    </row>
    <row r="187" spans="3:17" ht="15.75" customHeight="1">
      <c r="C187" s="6" t="s">
        <v>1141</v>
      </c>
      <c r="E187" s="353">
        <v>9.25</v>
      </c>
      <c r="F187" s="123"/>
      <c r="G187" s="38">
        <v>31461</v>
      </c>
      <c r="H187" s="109">
        <v>42415</v>
      </c>
      <c r="I187" s="109"/>
      <c r="J187" s="2"/>
      <c r="K187" s="26" t="s">
        <v>751</v>
      </c>
      <c r="L187" s="32">
        <v>7266.854</v>
      </c>
      <c r="M187" s="17"/>
      <c r="N187" s="41">
        <v>-1835.1</v>
      </c>
      <c r="O187" s="22"/>
      <c r="P187" s="32">
        <f aca="true" t="shared" si="12" ref="P187:P213">L187+N187</f>
        <v>5431.754000000001</v>
      </c>
      <c r="Q187" s="17"/>
    </row>
    <row r="188" spans="3:17" ht="15.75" customHeight="1">
      <c r="C188" s="6" t="s">
        <v>1142</v>
      </c>
      <c r="E188" s="353">
        <v>7.25</v>
      </c>
      <c r="F188" s="123"/>
      <c r="G188" s="38">
        <v>31547</v>
      </c>
      <c r="H188" s="109">
        <v>42505</v>
      </c>
      <c r="I188" s="109"/>
      <c r="J188" s="2"/>
      <c r="K188" s="26" t="s">
        <v>752</v>
      </c>
      <c r="L188" s="32">
        <v>18823.551</v>
      </c>
      <c r="M188" s="17"/>
      <c r="N188" s="41">
        <v>0</v>
      </c>
      <c r="O188" s="22"/>
      <c r="P188" s="32">
        <f t="shared" si="12"/>
        <v>18823.551</v>
      </c>
      <c r="Q188" s="17"/>
    </row>
    <row r="189" spans="3:17" ht="15.75" customHeight="1">
      <c r="C189" s="6" t="s">
        <v>1143</v>
      </c>
      <c r="E189" s="353">
        <v>7.5</v>
      </c>
      <c r="F189" s="123"/>
      <c r="G189" s="38">
        <v>31733</v>
      </c>
      <c r="H189" s="109">
        <v>42689</v>
      </c>
      <c r="I189" s="109"/>
      <c r="J189" s="2"/>
      <c r="K189" s="26" t="s">
        <v>1031</v>
      </c>
      <c r="L189" s="32">
        <v>18864.448</v>
      </c>
      <c r="M189" s="17"/>
      <c r="N189" s="41">
        <v>-77</v>
      </c>
      <c r="O189" s="22"/>
      <c r="P189" s="32">
        <f t="shared" si="12"/>
        <v>18787.448</v>
      </c>
      <c r="Q189" s="17"/>
    </row>
    <row r="190" spans="3:17" ht="15.75" customHeight="1">
      <c r="C190" s="6" t="s">
        <v>1144</v>
      </c>
      <c r="E190" s="353">
        <v>8.75</v>
      </c>
      <c r="F190" s="123"/>
      <c r="G190" s="38">
        <v>31912</v>
      </c>
      <c r="H190" s="109">
        <v>42870</v>
      </c>
      <c r="I190" s="109"/>
      <c r="J190" s="2"/>
      <c r="K190" s="26" t="s">
        <v>752</v>
      </c>
      <c r="L190" s="32">
        <v>18194.169</v>
      </c>
      <c r="M190" s="17"/>
      <c r="N190" s="41">
        <v>-2635</v>
      </c>
      <c r="O190" s="22"/>
      <c r="P190" s="32">
        <f t="shared" si="12"/>
        <v>15559.169000000002</v>
      </c>
      <c r="Q190" s="17"/>
    </row>
    <row r="191" spans="3:17" ht="15.75" customHeight="1">
      <c r="C191" s="6" t="s">
        <v>1145</v>
      </c>
      <c r="E191" s="353">
        <v>8.875</v>
      </c>
      <c r="F191" s="123"/>
      <c r="G191" s="38">
        <v>32006</v>
      </c>
      <c r="H191" s="109">
        <v>42962</v>
      </c>
      <c r="I191" s="109"/>
      <c r="J191" s="2"/>
      <c r="K191" s="26" t="s">
        <v>839</v>
      </c>
      <c r="L191" s="32">
        <v>14016.858</v>
      </c>
      <c r="M191" s="17"/>
      <c r="N191" s="41">
        <v>-3048.5</v>
      </c>
      <c r="O191" s="22"/>
      <c r="P191" s="32">
        <f t="shared" si="12"/>
        <v>10968.358</v>
      </c>
      <c r="Q191" s="17"/>
    </row>
    <row r="192" spans="3:17" ht="15.75" customHeight="1">
      <c r="C192" s="6" t="s">
        <v>1146</v>
      </c>
      <c r="E192" s="353">
        <v>9.125</v>
      </c>
      <c r="F192" s="123"/>
      <c r="G192" s="38">
        <v>32279</v>
      </c>
      <c r="H192" s="109">
        <v>43235</v>
      </c>
      <c r="I192" s="109"/>
      <c r="J192" s="2"/>
      <c r="K192" s="26" t="s">
        <v>752</v>
      </c>
      <c r="L192" s="32">
        <v>8708.639</v>
      </c>
      <c r="M192" s="17"/>
      <c r="N192" s="41">
        <v>-1991.2</v>
      </c>
      <c r="O192" s="22"/>
      <c r="P192" s="32">
        <f t="shared" si="12"/>
        <v>6717.438999999999</v>
      </c>
      <c r="Q192" s="17"/>
    </row>
    <row r="193" spans="3:17" ht="15.75" customHeight="1">
      <c r="C193" s="6" t="s">
        <v>1147</v>
      </c>
      <c r="E193" s="353">
        <v>9</v>
      </c>
      <c r="F193" s="123"/>
      <c r="G193" s="38">
        <v>32469</v>
      </c>
      <c r="H193" s="109">
        <v>43419</v>
      </c>
      <c r="I193" s="109"/>
      <c r="J193" s="2"/>
      <c r="K193" s="26" t="s">
        <v>1031</v>
      </c>
      <c r="L193" s="32">
        <v>9032.87</v>
      </c>
      <c r="M193" s="17"/>
      <c r="N193" s="41">
        <v>-1858.4</v>
      </c>
      <c r="O193" s="22"/>
      <c r="P193" s="32">
        <f t="shared" si="12"/>
        <v>7174.470000000001</v>
      </c>
      <c r="Q193" s="17"/>
    </row>
    <row r="194" spans="3:17" ht="15.75" customHeight="1">
      <c r="C194" s="6" t="s">
        <v>1148</v>
      </c>
      <c r="E194" s="353">
        <v>8.875</v>
      </c>
      <c r="F194" s="123"/>
      <c r="G194" s="38">
        <v>32554</v>
      </c>
      <c r="H194" s="109">
        <v>43511</v>
      </c>
      <c r="I194" s="109"/>
      <c r="J194" s="2"/>
      <c r="K194" s="26" t="s">
        <v>751</v>
      </c>
      <c r="L194" s="32">
        <v>19250.798</v>
      </c>
      <c r="M194" s="17"/>
      <c r="N194" s="41">
        <v>-6160.3</v>
      </c>
      <c r="O194" s="22"/>
      <c r="P194" s="32">
        <f t="shared" si="12"/>
        <v>13090.498</v>
      </c>
      <c r="Q194" s="17"/>
    </row>
    <row r="195" spans="3:17" ht="15.75" customHeight="1">
      <c r="C195" s="6" t="s">
        <v>1149</v>
      </c>
      <c r="E195" s="353">
        <v>8.125</v>
      </c>
      <c r="F195" s="123"/>
      <c r="G195" s="38">
        <v>32735</v>
      </c>
      <c r="H195" s="109">
        <v>43692</v>
      </c>
      <c r="I195" s="109"/>
      <c r="J195" s="2"/>
      <c r="K195" s="26" t="s">
        <v>839</v>
      </c>
      <c r="L195" s="32">
        <v>20213.832</v>
      </c>
      <c r="M195" s="17"/>
      <c r="N195" s="41">
        <v>-1272.9</v>
      </c>
      <c r="O195" s="22"/>
      <c r="P195" s="32">
        <f t="shared" si="12"/>
        <v>18940.931999999997</v>
      </c>
      <c r="Q195" s="17"/>
    </row>
    <row r="196" spans="3:17" ht="15.75" customHeight="1">
      <c r="C196" s="6" t="s">
        <v>1150</v>
      </c>
      <c r="E196" s="353">
        <v>8.5</v>
      </c>
      <c r="F196" s="123"/>
      <c r="G196" s="38">
        <v>32919</v>
      </c>
      <c r="H196" s="109">
        <v>43876</v>
      </c>
      <c r="I196" s="109"/>
      <c r="J196" s="2"/>
      <c r="K196" s="26" t="s">
        <v>751</v>
      </c>
      <c r="L196" s="32">
        <v>10228.868</v>
      </c>
      <c r="M196" s="17"/>
      <c r="N196" s="41">
        <v>-752.6</v>
      </c>
      <c r="O196" s="22"/>
      <c r="P196" s="32">
        <f t="shared" si="12"/>
        <v>9476.268</v>
      </c>
      <c r="Q196" s="17"/>
    </row>
    <row r="197" spans="3:17" ht="15.75" customHeight="1">
      <c r="C197" s="6" t="s">
        <v>1151</v>
      </c>
      <c r="E197" s="353">
        <v>8.75</v>
      </c>
      <c r="F197" s="123"/>
      <c r="G197" s="38">
        <v>33008</v>
      </c>
      <c r="H197" s="109">
        <v>43966</v>
      </c>
      <c r="I197" s="109"/>
      <c r="J197" s="2"/>
      <c r="K197" s="26" t="s">
        <v>752</v>
      </c>
      <c r="L197" s="32">
        <v>10158.883</v>
      </c>
      <c r="M197" s="17"/>
      <c r="N197" s="41">
        <v>-2576.7</v>
      </c>
      <c r="O197" s="22"/>
      <c r="P197" s="32">
        <f t="shared" si="12"/>
        <v>7582.183</v>
      </c>
      <c r="Q197" s="17"/>
    </row>
    <row r="198" spans="3:17" ht="15.75" customHeight="1">
      <c r="C198" s="6" t="s">
        <v>1152</v>
      </c>
      <c r="E198" s="353">
        <v>8.75</v>
      </c>
      <c r="F198" s="123"/>
      <c r="G198" s="38">
        <v>33100</v>
      </c>
      <c r="H198" s="109">
        <v>44058</v>
      </c>
      <c r="I198" s="109"/>
      <c r="J198" s="2"/>
      <c r="K198" s="26" t="s">
        <v>839</v>
      </c>
      <c r="L198" s="32">
        <v>21418.606</v>
      </c>
      <c r="M198" s="17"/>
      <c r="N198" s="41">
        <v>-4359.3</v>
      </c>
      <c r="O198" s="22"/>
      <c r="P198" s="32">
        <f t="shared" si="12"/>
        <v>17059.306</v>
      </c>
      <c r="Q198" s="17"/>
    </row>
    <row r="199" spans="3:17" ht="15.75" customHeight="1">
      <c r="C199" s="6" t="s">
        <v>1153</v>
      </c>
      <c r="E199" s="353">
        <v>7.875</v>
      </c>
      <c r="F199" s="123"/>
      <c r="G199" s="38">
        <v>33284</v>
      </c>
      <c r="H199" s="109">
        <v>44242</v>
      </c>
      <c r="I199" s="109"/>
      <c r="J199" s="2"/>
      <c r="K199" s="26" t="s">
        <v>751</v>
      </c>
      <c r="L199" s="32">
        <v>11113.373</v>
      </c>
      <c r="M199" s="17"/>
      <c r="N199" s="41">
        <v>-1037.8</v>
      </c>
      <c r="O199" s="22"/>
      <c r="P199" s="32">
        <f t="shared" si="12"/>
        <v>10075.573</v>
      </c>
      <c r="Q199" s="17"/>
    </row>
    <row r="200" spans="3:17" ht="15.75" customHeight="1">
      <c r="C200" s="6" t="s">
        <v>285</v>
      </c>
      <c r="E200" s="353">
        <v>8.125</v>
      </c>
      <c r="F200" s="123"/>
      <c r="G200" s="38">
        <v>33373</v>
      </c>
      <c r="H200" s="109">
        <v>44331</v>
      </c>
      <c r="I200" s="109"/>
      <c r="J200" s="2"/>
      <c r="K200" s="26" t="s">
        <v>752</v>
      </c>
      <c r="L200" s="32">
        <v>11958.888</v>
      </c>
      <c r="M200" s="17"/>
      <c r="N200" s="41">
        <v>-1892.1</v>
      </c>
      <c r="O200" s="22"/>
      <c r="P200" s="32">
        <f t="shared" si="12"/>
        <v>10066.788</v>
      </c>
      <c r="Q200" s="17"/>
    </row>
    <row r="201" spans="3:17" ht="15.75" customHeight="1">
      <c r="C201" s="6" t="s">
        <v>286</v>
      </c>
      <c r="E201" s="353">
        <v>8.125</v>
      </c>
      <c r="F201" s="123"/>
      <c r="G201" s="38">
        <v>33465</v>
      </c>
      <c r="H201" s="109">
        <v>44423</v>
      </c>
      <c r="I201" s="109"/>
      <c r="J201" s="2"/>
      <c r="K201" s="26" t="s">
        <v>839</v>
      </c>
      <c r="L201" s="32">
        <v>12163.482</v>
      </c>
      <c r="M201" s="17"/>
      <c r="N201" s="41">
        <v>-2657.1</v>
      </c>
      <c r="O201" s="22"/>
      <c r="P201" s="32">
        <f t="shared" si="12"/>
        <v>9506.382</v>
      </c>
      <c r="Q201" s="17"/>
    </row>
    <row r="202" spans="3:17" ht="15.75" customHeight="1">
      <c r="C202" s="6" t="s">
        <v>287</v>
      </c>
      <c r="E202" s="353">
        <v>8</v>
      </c>
      <c r="F202" s="123"/>
      <c r="G202" s="38">
        <v>33557</v>
      </c>
      <c r="H202" s="109">
        <v>44515</v>
      </c>
      <c r="I202" s="109"/>
      <c r="J202" s="2"/>
      <c r="K202" s="26" t="s">
        <v>1031</v>
      </c>
      <c r="L202" s="32">
        <v>32798.394</v>
      </c>
      <c r="M202" s="17"/>
      <c r="N202" s="41">
        <v>-2166.2</v>
      </c>
      <c r="O202" s="22"/>
      <c r="P202" s="32">
        <f t="shared" si="12"/>
        <v>30632.194</v>
      </c>
      <c r="Q202" s="17"/>
    </row>
    <row r="203" spans="3:17" ht="15.75" customHeight="1">
      <c r="C203" s="6" t="s">
        <v>288</v>
      </c>
      <c r="E203" s="353">
        <v>7.25</v>
      </c>
      <c r="F203" s="123"/>
      <c r="G203" s="38">
        <v>33833</v>
      </c>
      <c r="H203" s="109">
        <v>44788</v>
      </c>
      <c r="I203" s="109"/>
      <c r="J203" s="2"/>
      <c r="K203" s="26" t="s">
        <v>839</v>
      </c>
      <c r="L203" s="32">
        <v>10352.79</v>
      </c>
      <c r="M203" s="17"/>
      <c r="N203" s="41">
        <v>-225</v>
      </c>
      <c r="O203" s="22"/>
      <c r="P203" s="32">
        <f t="shared" si="12"/>
        <v>10127.79</v>
      </c>
      <c r="Q203" s="17"/>
    </row>
    <row r="204" spans="3:17" ht="15.75" customHeight="1">
      <c r="C204" s="6" t="s">
        <v>289</v>
      </c>
      <c r="E204" s="353">
        <v>7.625</v>
      </c>
      <c r="F204" s="123"/>
      <c r="G204" s="38">
        <v>33924</v>
      </c>
      <c r="H204" s="109">
        <v>44880</v>
      </c>
      <c r="I204" s="109"/>
      <c r="J204" s="2"/>
      <c r="K204" s="26" t="s">
        <v>1031</v>
      </c>
      <c r="L204" s="32">
        <v>10699.626</v>
      </c>
      <c r="M204" s="17"/>
      <c r="N204" s="41">
        <v>-3276</v>
      </c>
      <c r="O204" s="22"/>
      <c r="P204" s="32">
        <f t="shared" si="12"/>
        <v>7423.626</v>
      </c>
      <c r="Q204" s="17"/>
    </row>
    <row r="205" spans="3:17" ht="15.75" customHeight="1">
      <c r="C205" s="6" t="s">
        <v>290</v>
      </c>
      <c r="E205" s="353">
        <v>7.125</v>
      </c>
      <c r="F205" s="123"/>
      <c r="G205" s="38">
        <v>34016</v>
      </c>
      <c r="H205" s="109">
        <v>44972</v>
      </c>
      <c r="I205" s="109"/>
      <c r="J205" s="2"/>
      <c r="K205" s="26" t="s">
        <v>751</v>
      </c>
      <c r="L205" s="32">
        <v>18374.361</v>
      </c>
      <c r="M205" s="17"/>
      <c r="N205" s="41">
        <v>-2592.3</v>
      </c>
      <c r="O205" s="22"/>
      <c r="P205" s="32">
        <f t="shared" si="12"/>
        <v>15782.061000000002</v>
      </c>
      <c r="Q205" s="17"/>
    </row>
    <row r="206" spans="3:17" ht="15.75" customHeight="1">
      <c r="C206" s="6" t="s">
        <v>291</v>
      </c>
      <c r="E206" s="353">
        <v>6.25</v>
      </c>
      <c r="F206" s="123"/>
      <c r="G206" s="38">
        <v>34197</v>
      </c>
      <c r="H206" s="109">
        <v>45153</v>
      </c>
      <c r="I206" s="109"/>
      <c r="J206" s="2"/>
      <c r="K206" s="26" t="s">
        <v>839</v>
      </c>
      <c r="L206" s="32">
        <v>22909.044</v>
      </c>
      <c r="M206" s="17"/>
      <c r="N206" s="41">
        <v>-250</v>
      </c>
      <c r="O206" s="22"/>
      <c r="P206" s="32">
        <f t="shared" si="12"/>
        <v>22659.044</v>
      </c>
      <c r="Q206" s="17"/>
    </row>
    <row r="207" spans="3:17" ht="15.75" customHeight="1">
      <c r="C207" s="6" t="s">
        <v>292</v>
      </c>
      <c r="E207" s="353">
        <v>7.5</v>
      </c>
      <c r="F207" s="123"/>
      <c r="G207" s="38">
        <v>34561</v>
      </c>
      <c r="H207" s="109">
        <v>45611</v>
      </c>
      <c r="I207" s="109"/>
      <c r="J207" s="2"/>
      <c r="K207" s="26" t="s">
        <v>752</v>
      </c>
      <c r="L207" s="32">
        <v>11469.662</v>
      </c>
      <c r="M207" s="17"/>
      <c r="N207" s="41">
        <v>-1865.5</v>
      </c>
      <c r="O207" s="22"/>
      <c r="P207" s="32">
        <f t="shared" si="12"/>
        <v>9604.162</v>
      </c>
      <c r="Q207" s="17"/>
    </row>
    <row r="208" spans="3:17" ht="15.75" customHeight="1">
      <c r="C208" s="6" t="s">
        <v>293</v>
      </c>
      <c r="E208" s="353">
        <v>7.625</v>
      </c>
      <c r="F208" s="123"/>
      <c r="G208" s="38">
        <v>34745</v>
      </c>
      <c r="H208" s="109">
        <v>45703</v>
      </c>
      <c r="I208" s="109"/>
      <c r="J208" s="2"/>
      <c r="K208" s="26" t="s">
        <v>751</v>
      </c>
      <c r="L208" s="32">
        <v>11725.17</v>
      </c>
      <c r="M208" s="17"/>
      <c r="N208" s="41">
        <v>-2216</v>
      </c>
      <c r="O208" s="22"/>
      <c r="P208" s="32">
        <f t="shared" si="12"/>
        <v>9509.17</v>
      </c>
      <c r="Q208" s="17"/>
    </row>
    <row r="209" spans="3:17" ht="15.75" customHeight="1">
      <c r="C209" s="6" t="s">
        <v>294</v>
      </c>
      <c r="E209" s="353">
        <v>6.875</v>
      </c>
      <c r="F209" s="123"/>
      <c r="G209" s="38">
        <v>34926</v>
      </c>
      <c r="H209" s="109">
        <v>45884</v>
      </c>
      <c r="I209" s="109"/>
      <c r="J209" s="2"/>
      <c r="K209" s="26" t="s">
        <v>839</v>
      </c>
      <c r="L209" s="32">
        <v>12602.007</v>
      </c>
      <c r="M209" s="17"/>
      <c r="N209" s="41">
        <v>-1414.8</v>
      </c>
      <c r="O209" s="22"/>
      <c r="P209" s="32">
        <f t="shared" si="12"/>
        <v>11187.207</v>
      </c>
      <c r="Q209" s="17"/>
    </row>
    <row r="210" spans="3:17" ht="15.75" customHeight="1">
      <c r="C210" s="6" t="s">
        <v>295</v>
      </c>
      <c r="E210" s="353">
        <v>6</v>
      </c>
      <c r="F210" s="123"/>
      <c r="G210" s="38">
        <v>35110</v>
      </c>
      <c r="H210" s="109">
        <v>46068</v>
      </c>
      <c r="I210" s="109"/>
      <c r="J210" s="2"/>
      <c r="K210" s="26" t="s">
        <v>751</v>
      </c>
      <c r="L210" s="32">
        <v>12904.916</v>
      </c>
      <c r="M210" s="17"/>
      <c r="N210" s="41">
        <v>-67</v>
      </c>
      <c r="O210" s="22"/>
      <c r="P210" s="32">
        <f t="shared" si="12"/>
        <v>12837.916</v>
      </c>
      <c r="Q210" s="17"/>
    </row>
    <row r="211" spans="3:17" ht="15.75" customHeight="1">
      <c r="C211" s="6" t="s">
        <v>296</v>
      </c>
      <c r="E211" s="353">
        <v>6.75</v>
      </c>
      <c r="F211" s="123"/>
      <c r="G211" s="72">
        <v>35292</v>
      </c>
      <c r="H211" s="110">
        <v>46249</v>
      </c>
      <c r="I211" s="110"/>
      <c r="J211" s="2"/>
      <c r="K211" s="26" t="s">
        <v>839</v>
      </c>
      <c r="L211" s="32">
        <v>10893.818</v>
      </c>
      <c r="M211" s="17"/>
      <c r="N211" s="41">
        <v>-2083.4</v>
      </c>
      <c r="O211" s="22"/>
      <c r="P211" s="32">
        <f t="shared" si="12"/>
        <v>8810.418</v>
      </c>
      <c r="Q211" s="17"/>
    </row>
    <row r="212" spans="3:17" ht="15.75" customHeight="1">
      <c r="C212" s="6" t="s">
        <v>297</v>
      </c>
      <c r="E212" s="353">
        <v>6.5</v>
      </c>
      <c r="F212" s="123"/>
      <c r="G212" s="72">
        <v>35384</v>
      </c>
      <c r="H212" s="110">
        <v>46341</v>
      </c>
      <c r="I212" s="110"/>
      <c r="J212" s="2"/>
      <c r="K212" s="26" t="s">
        <v>1031</v>
      </c>
      <c r="L212" s="32">
        <v>11493.177</v>
      </c>
      <c r="M212" s="17"/>
      <c r="N212" s="41">
        <v>-633</v>
      </c>
      <c r="O212" s="22"/>
      <c r="P212" s="32">
        <f t="shared" si="12"/>
        <v>10860.177</v>
      </c>
      <c r="Q212" s="17"/>
    </row>
    <row r="213" spans="3:17" ht="15.75" customHeight="1">
      <c r="C213" s="6" t="s">
        <v>298</v>
      </c>
      <c r="E213" s="353">
        <v>6.625</v>
      </c>
      <c r="F213" s="123"/>
      <c r="G213" s="72">
        <v>35479</v>
      </c>
      <c r="H213" s="110">
        <v>46433</v>
      </c>
      <c r="I213" s="110"/>
      <c r="J213" s="2"/>
      <c r="K213" s="26" t="s">
        <v>751</v>
      </c>
      <c r="L213" s="32">
        <v>10456.071</v>
      </c>
      <c r="M213" s="17"/>
      <c r="N213" s="41">
        <v>-934.1</v>
      </c>
      <c r="O213" s="22"/>
      <c r="P213" s="32">
        <f t="shared" si="12"/>
        <v>9521.971</v>
      </c>
      <c r="Q213" s="17"/>
    </row>
    <row r="214" spans="3:17" ht="15.75" customHeight="1">
      <c r="C214" s="6" t="s">
        <v>299</v>
      </c>
      <c r="E214" s="353">
        <v>6.375</v>
      </c>
      <c r="F214" s="123"/>
      <c r="G214" s="72">
        <v>35657</v>
      </c>
      <c r="H214" s="110">
        <v>46614</v>
      </c>
      <c r="I214" s="110"/>
      <c r="J214" s="2"/>
      <c r="K214" s="26" t="s">
        <v>839</v>
      </c>
      <c r="L214" s="32">
        <v>10735.756</v>
      </c>
      <c r="M214" s="17"/>
      <c r="N214" s="41">
        <v>-1539</v>
      </c>
      <c r="O214" s="22"/>
      <c r="P214" s="32">
        <f aca="true" t="shared" si="13" ref="P214:P223">L214+N214</f>
        <v>9196.756</v>
      </c>
      <c r="Q214" s="17"/>
    </row>
    <row r="215" spans="3:17" ht="14.25" customHeight="1">
      <c r="C215" s="6" t="s">
        <v>300</v>
      </c>
      <c r="E215" s="353">
        <v>6.125</v>
      </c>
      <c r="F215" s="123"/>
      <c r="G215" s="72">
        <v>35751</v>
      </c>
      <c r="H215" s="110">
        <v>46706</v>
      </c>
      <c r="I215" s="110"/>
      <c r="J215" s="2"/>
      <c r="K215" s="26" t="s">
        <v>1031</v>
      </c>
      <c r="L215" s="32">
        <v>22518.539</v>
      </c>
      <c r="M215" s="17"/>
      <c r="N215" s="41">
        <v>-497.2</v>
      </c>
      <c r="O215" s="22"/>
      <c r="P215" s="32">
        <f t="shared" si="13"/>
        <v>22021.339</v>
      </c>
      <c r="Q215" s="17"/>
    </row>
    <row r="216" spans="3:17" ht="15.75" customHeight="1">
      <c r="C216" s="6" t="s">
        <v>301</v>
      </c>
      <c r="E216" s="353">
        <v>5.5</v>
      </c>
      <c r="F216" s="123"/>
      <c r="G216" s="72">
        <v>36024</v>
      </c>
      <c r="H216" s="110">
        <v>46980</v>
      </c>
      <c r="I216" s="110"/>
      <c r="J216" s="2"/>
      <c r="K216" s="26" t="s">
        <v>839</v>
      </c>
      <c r="L216" s="32">
        <v>11776.201</v>
      </c>
      <c r="M216" s="17"/>
      <c r="N216" s="41">
        <v>0</v>
      </c>
      <c r="O216" s="22"/>
      <c r="P216" s="32">
        <f t="shared" si="13"/>
        <v>11776.201</v>
      </c>
      <c r="Q216" s="17"/>
    </row>
    <row r="217" spans="3:17" ht="16.5" customHeight="1">
      <c r="C217" s="6" t="s">
        <v>302</v>
      </c>
      <c r="E217" s="353">
        <v>5.25</v>
      </c>
      <c r="F217" s="123"/>
      <c r="G217" s="72">
        <v>36115</v>
      </c>
      <c r="H217" s="110">
        <v>47072</v>
      </c>
      <c r="I217" s="110"/>
      <c r="J217" s="2"/>
      <c r="K217" s="26" t="s">
        <v>1031</v>
      </c>
      <c r="L217" s="32">
        <v>10947.052</v>
      </c>
      <c r="M217" s="17"/>
      <c r="N217" s="41">
        <v>0</v>
      </c>
      <c r="O217" s="22"/>
      <c r="P217" s="32">
        <f t="shared" si="13"/>
        <v>10947.052</v>
      </c>
      <c r="Q217" s="17"/>
    </row>
    <row r="218" spans="3:17" ht="15.75" customHeight="1">
      <c r="C218" s="6" t="s">
        <v>303</v>
      </c>
      <c r="E218" s="353">
        <v>5.25</v>
      </c>
      <c r="F218" s="123"/>
      <c r="G218" s="72">
        <v>36207</v>
      </c>
      <c r="H218" s="110">
        <v>47164</v>
      </c>
      <c r="I218" s="110"/>
      <c r="J218" s="2"/>
      <c r="K218" s="26" t="s">
        <v>751</v>
      </c>
      <c r="L218" s="32">
        <v>11350.341</v>
      </c>
      <c r="M218" s="17"/>
      <c r="N218" s="41">
        <v>0</v>
      </c>
      <c r="O218" s="22"/>
      <c r="P218" s="32">
        <f t="shared" si="13"/>
        <v>11350.341</v>
      </c>
      <c r="Q218" s="33"/>
    </row>
    <row r="219" spans="3:17" ht="15.75" customHeight="1">
      <c r="C219" s="6" t="s">
        <v>304</v>
      </c>
      <c r="E219" s="353">
        <v>6.125</v>
      </c>
      <c r="F219" s="123"/>
      <c r="G219" s="72">
        <v>36388</v>
      </c>
      <c r="H219" s="110">
        <v>47345</v>
      </c>
      <c r="I219" s="110"/>
      <c r="J219" s="2"/>
      <c r="K219" s="26" t="s">
        <v>839</v>
      </c>
      <c r="L219" s="32">
        <v>11178.58</v>
      </c>
      <c r="M219" s="17"/>
      <c r="N219" s="41">
        <v>0</v>
      </c>
      <c r="O219" s="22"/>
      <c r="P219" s="32">
        <f t="shared" si="13"/>
        <v>11178.58</v>
      </c>
      <c r="Q219" s="17"/>
    </row>
    <row r="220" spans="3:17" ht="15.75" customHeight="1">
      <c r="C220" s="6" t="s">
        <v>305</v>
      </c>
      <c r="E220" s="353">
        <v>6.25</v>
      </c>
      <c r="F220" s="123"/>
      <c r="G220" s="72">
        <v>36571</v>
      </c>
      <c r="H220" s="110">
        <v>47618</v>
      </c>
      <c r="I220" s="110"/>
      <c r="J220" s="2"/>
      <c r="K220" s="26" t="s">
        <v>1031</v>
      </c>
      <c r="L220" s="32">
        <v>17043.162</v>
      </c>
      <c r="M220" s="17"/>
      <c r="N220" s="41">
        <v>0</v>
      </c>
      <c r="O220" s="22"/>
      <c r="P220" s="32">
        <f t="shared" si="13"/>
        <v>17043.162</v>
      </c>
      <c r="Q220" s="17"/>
    </row>
    <row r="221" spans="3:17" ht="15.75" customHeight="1">
      <c r="C221" s="6" t="s">
        <v>306</v>
      </c>
      <c r="E221" s="353">
        <v>5.375</v>
      </c>
      <c r="F221" s="123"/>
      <c r="G221" s="72">
        <v>36937</v>
      </c>
      <c r="H221" s="110">
        <v>47894</v>
      </c>
      <c r="I221" s="110"/>
      <c r="J221" s="2"/>
      <c r="K221" s="26" t="s">
        <v>751</v>
      </c>
      <c r="L221" s="32">
        <v>16427.648</v>
      </c>
      <c r="M221" s="17"/>
      <c r="N221" s="41">
        <v>0</v>
      </c>
      <c r="O221" s="22"/>
      <c r="P221" s="32">
        <f t="shared" si="13"/>
        <v>16427.648</v>
      </c>
      <c r="Q221" s="17"/>
    </row>
    <row r="222" spans="2:17" ht="15.75" customHeight="1">
      <c r="B222" s="6" t="s">
        <v>260</v>
      </c>
      <c r="F222" s="35"/>
      <c r="G222" s="12" t="s">
        <v>758</v>
      </c>
      <c r="H222" s="38" t="s">
        <v>758</v>
      </c>
      <c r="I222" s="38" t="s">
        <v>758</v>
      </c>
      <c r="J222" s="2"/>
      <c r="K222" s="26" t="s">
        <v>758</v>
      </c>
      <c r="L222" s="46">
        <f>SUM(L166:L221)</f>
        <v>596987.279</v>
      </c>
      <c r="M222" s="180"/>
      <c r="N222" s="46">
        <f>SUM(N166:N221)</f>
        <v>-67074.2</v>
      </c>
      <c r="O222" s="180"/>
      <c r="P222" s="46">
        <f t="shared" si="13"/>
        <v>529913.079</v>
      </c>
      <c r="Q222" s="180"/>
    </row>
    <row r="223" spans="2:17" ht="15.75" customHeight="1">
      <c r="B223" t="s">
        <v>261</v>
      </c>
      <c r="F223" s="35"/>
      <c r="G223" s="12" t="s">
        <v>758</v>
      </c>
      <c r="H223" s="38" t="s">
        <v>758</v>
      </c>
      <c r="I223" s="38" t="s">
        <v>758</v>
      </c>
      <c r="J223" s="2"/>
      <c r="K223" s="26" t="s">
        <v>758</v>
      </c>
      <c r="L223" s="46">
        <v>68.79035</v>
      </c>
      <c r="M223" s="17"/>
      <c r="N223" s="41">
        <v>0</v>
      </c>
      <c r="O223" s="22"/>
      <c r="P223" s="32">
        <f t="shared" si="13"/>
        <v>68.79035</v>
      </c>
      <c r="Q223" s="17"/>
    </row>
    <row r="224" spans="2:17" ht="15.75" customHeight="1" thickBot="1">
      <c r="B224" s="61" t="s">
        <v>244</v>
      </c>
      <c r="F224" s="35"/>
      <c r="G224" s="12" t="s">
        <v>758</v>
      </c>
      <c r="H224" s="38" t="s">
        <v>758</v>
      </c>
      <c r="I224" s="38" t="s">
        <v>758</v>
      </c>
      <c r="J224" s="2"/>
      <c r="K224" s="26" t="s">
        <v>758</v>
      </c>
      <c r="L224" s="184">
        <f>+L222+L223</f>
        <v>597056.06935</v>
      </c>
      <c r="M224" s="185"/>
      <c r="N224" s="184">
        <f>+N222+N223</f>
        <v>-67074.2</v>
      </c>
      <c r="O224" s="185"/>
      <c r="P224" s="184">
        <f>+L224+N224</f>
        <v>529981.86935</v>
      </c>
      <c r="Q224" s="185"/>
    </row>
    <row r="225" spans="2:17" ht="15.75" customHeight="1" thickTop="1">
      <c r="B225" s="61"/>
      <c r="F225" s="35"/>
      <c r="G225" s="76"/>
      <c r="H225" s="153"/>
      <c r="I225" s="153"/>
      <c r="J225" s="2"/>
      <c r="K225" s="107"/>
      <c r="L225" s="226"/>
      <c r="M225" s="226"/>
      <c r="N225" s="226"/>
      <c r="O225" s="226"/>
      <c r="P225" s="226"/>
      <c r="Q225" s="226"/>
    </row>
    <row r="226" spans="2:17" ht="16.5" customHeight="1">
      <c r="B226" s="61"/>
      <c r="F226" s="35"/>
      <c r="G226" s="76"/>
      <c r="H226" s="153"/>
      <c r="I226" s="153"/>
      <c r="J226" s="2"/>
      <c r="K226" s="107"/>
      <c r="L226" s="226"/>
      <c r="M226" s="226"/>
      <c r="N226" s="226"/>
      <c r="O226" s="226"/>
      <c r="P226" s="226"/>
      <c r="Q226" s="226"/>
    </row>
    <row r="227" spans="2:17" ht="16.5" customHeight="1">
      <c r="B227" s="61"/>
      <c r="F227" s="35"/>
      <c r="G227" s="76"/>
      <c r="H227" s="153"/>
      <c r="I227" s="153"/>
      <c r="J227" s="2"/>
      <c r="K227" s="107"/>
      <c r="L227" s="226"/>
      <c r="M227" s="226"/>
      <c r="N227" s="226"/>
      <c r="O227" s="226"/>
      <c r="P227" s="226"/>
      <c r="Q227" s="226"/>
    </row>
    <row r="228" spans="2:17" ht="16.5" customHeight="1">
      <c r="B228" s="61"/>
      <c r="F228" s="35"/>
      <c r="G228" s="76"/>
      <c r="H228" s="153"/>
      <c r="I228" s="153"/>
      <c r="J228" s="2"/>
      <c r="K228" s="107"/>
      <c r="L228" s="226"/>
      <c r="M228" s="226"/>
      <c r="N228" s="226"/>
      <c r="O228" s="226"/>
      <c r="P228" s="226"/>
      <c r="Q228" s="226"/>
    </row>
    <row r="229" spans="2:17" ht="16.5" customHeight="1">
      <c r="B229" s="61"/>
      <c r="F229" s="35"/>
      <c r="G229" s="76"/>
      <c r="H229" s="153"/>
      <c r="I229" s="153"/>
      <c r="J229" s="2"/>
      <c r="K229" s="107"/>
      <c r="L229" s="226"/>
      <c r="M229" s="226"/>
      <c r="N229" s="226"/>
      <c r="O229" s="226"/>
      <c r="P229" s="226"/>
      <c r="Q229" s="226"/>
    </row>
    <row r="230" spans="2:17" ht="16.5" customHeight="1">
      <c r="B230" s="61"/>
      <c r="F230" s="35"/>
      <c r="G230" s="76"/>
      <c r="H230" s="153"/>
      <c r="I230" s="153"/>
      <c r="J230" s="2"/>
      <c r="K230" s="107"/>
      <c r="L230" s="226"/>
      <c r="M230" s="226"/>
      <c r="N230" s="226"/>
      <c r="O230" s="226"/>
      <c r="P230" s="226"/>
      <c r="Q230" s="226"/>
    </row>
    <row r="231" spans="2:17" ht="16.5" customHeight="1">
      <c r="B231" s="61"/>
      <c r="F231" s="35"/>
      <c r="G231" s="76"/>
      <c r="H231" s="153"/>
      <c r="I231" s="153"/>
      <c r="J231" s="2"/>
      <c r="K231" s="107"/>
      <c r="L231" s="226"/>
      <c r="M231" s="226"/>
      <c r="N231" s="226"/>
      <c r="O231" s="226"/>
      <c r="P231" s="226"/>
      <c r="Q231" s="226"/>
    </row>
    <row r="232" spans="2:17" ht="16.5" customHeight="1">
      <c r="B232" s="61"/>
      <c r="F232" s="35"/>
      <c r="G232" s="76"/>
      <c r="H232" s="153"/>
      <c r="I232" s="153"/>
      <c r="J232" s="2"/>
      <c r="K232" s="107"/>
      <c r="L232" s="226"/>
      <c r="M232" s="226"/>
      <c r="N232" s="226"/>
      <c r="O232" s="226"/>
      <c r="P232" s="226"/>
      <c r="Q232" s="226"/>
    </row>
    <row r="233" spans="2:17" ht="16.5" customHeight="1">
      <c r="B233" s="61"/>
      <c r="F233" s="35"/>
      <c r="G233" s="76"/>
      <c r="H233" s="153"/>
      <c r="I233" s="153"/>
      <c r="J233" s="2"/>
      <c r="K233" s="107"/>
      <c r="L233" s="226"/>
      <c r="M233" s="226"/>
      <c r="N233" s="226"/>
      <c r="O233" s="226"/>
      <c r="P233" s="226"/>
      <c r="Q233" s="226"/>
    </row>
    <row r="234" spans="2:17" ht="16.5" customHeight="1">
      <c r="B234" s="61"/>
      <c r="F234" s="35"/>
      <c r="G234" s="76"/>
      <c r="H234" s="153"/>
      <c r="I234" s="153"/>
      <c r="J234" s="2"/>
      <c r="K234" s="107"/>
      <c r="L234" s="226"/>
      <c r="M234" s="226"/>
      <c r="N234" s="226"/>
      <c r="O234" s="226"/>
      <c r="P234" s="226"/>
      <c r="Q234" s="226"/>
    </row>
    <row r="235" spans="2:17" ht="16.5" customHeight="1">
      <c r="B235" s="61"/>
      <c r="F235" s="35"/>
      <c r="G235" s="76"/>
      <c r="H235" s="153"/>
      <c r="I235" s="153"/>
      <c r="J235" s="2"/>
      <c r="K235" s="107"/>
      <c r="L235" s="226"/>
      <c r="M235" s="226"/>
      <c r="N235" s="226"/>
      <c r="O235" s="226"/>
      <c r="P235" s="226"/>
      <c r="Q235" s="226"/>
    </row>
    <row r="236" spans="2:17" ht="16.5" customHeight="1">
      <c r="B236" s="61"/>
      <c r="F236" s="35"/>
      <c r="G236" s="76"/>
      <c r="H236" s="153"/>
      <c r="I236" s="153"/>
      <c r="J236" s="2"/>
      <c r="K236" s="107"/>
      <c r="L236" s="226"/>
      <c r="M236" s="226"/>
      <c r="N236" s="226"/>
      <c r="O236" s="226"/>
      <c r="P236" s="226"/>
      <c r="Q236" s="226"/>
    </row>
    <row r="237" spans="2:17" ht="16.5" customHeight="1">
      <c r="B237" s="61"/>
      <c r="F237" s="35"/>
      <c r="G237" s="76"/>
      <c r="H237" s="153"/>
      <c r="I237" s="153"/>
      <c r="J237" s="2"/>
      <c r="K237" s="107"/>
      <c r="L237" s="226"/>
      <c r="M237" s="226"/>
      <c r="N237" s="226"/>
      <c r="O237" s="226"/>
      <c r="P237" s="226"/>
      <c r="Q237" s="226"/>
    </row>
    <row r="238" spans="2:17" ht="16.5" customHeight="1">
      <c r="B238" s="61"/>
      <c r="F238" s="35"/>
      <c r="G238" s="76"/>
      <c r="H238" s="153"/>
      <c r="I238" s="153"/>
      <c r="J238" s="2"/>
      <c r="K238" s="107"/>
      <c r="L238" s="226"/>
      <c r="M238" s="226"/>
      <c r="N238" s="226"/>
      <c r="O238" s="226"/>
      <c r="P238" s="226"/>
      <c r="Q238" s="226"/>
    </row>
    <row r="239" spans="2:17" ht="16.5" customHeight="1">
      <c r="B239" s="61"/>
      <c r="F239" s="35"/>
      <c r="G239" s="76"/>
      <c r="H239" s="153"/>
      <c r="I239" s="153"/>
      <c r="J239" s="2"/>
      <c r="K239" s="107"/>
      <c r="L239" s="226"/>
      <c r="M239" s="226"/>
      <c r="N239" s="226"/>
      <c r="O239" s="226"/>
      <c r="P239" s="226"/>
      <c r="Q239" s="226"/>
    </row>
    <row r="240" spans="2:17" ht="16.5" customHeight="1">
      <c r="B240" s="61"/>
      <c r="F240" s="35"/>
      <c r="G240" s="76"/>
      <c r="H240" s="153"/>
      <c r="I240" s="153"/>
      <c r="J240" s="2"/>
      <c r="K240" s="107"/>
      <c r="L240" s="226"/>
      <c r="M240" s="226"/>
      <c r="N240" s="226"/>
      <c r="O240" s="226"/>
      <c r="P240" s="226"/>
      <c r="Q240" s="226"/>
    </row>
    <row r="241" spans="2:17" ht="16.5" customHeight="1">
      <c r="B241" s="61"/>
      <c r="F241" s="35"/>
      <c r="G241" s="76"/>
      <c r="H241" s="153"/>
      <c r="I241" s="153"/>
      <c r="J241" s="2"/>
      <c r="K241" s="107"/>
      <c r="L241" s="226"/>
      <c r="M241" s="226"/>
      <c r="N241" s="226"/>
      <c r="O241" s="226"/>
      <c r="P241" s="226"/>
      <c r="Q241" s="226"/>
    </row>
    <row r="242" spans="2:17" ht="15.75" customHeight="1">
      <c r="B242" s="61"/>
      <c r="F242" s="35"/>
      <c r="G242" s="76"/>
      <c r="H242" s="153"/>
      <c r="I242" s="153"/>
      <c r="J242" s="2"/>
      <c r="K242" s="107"/>
      <c r="L242" s="226"/>
      <c r="M242" s="226"/>
      <c r="N242" s="226"/>
      <c r="O242" s="226"/>
      <c r="P242" s="226"/>
      <c r="Q242" s="226"/>
    </row>
    <row r="243" spans="2:17" ht="15.75" customHeight="1">
      <c r="B243" s="61"/>
      <c r="F243" s="35"/>
      <c r="G243" s="76"/>
      <c r="H243" s="153"/>
      <c r="I243" s="153"/>
      <c r="J243" s="2"/>
      <c r="K243" s="107"/>
      <c r="L243" s="226"/>
      <c r="M243" s="226"/>
      <c r="N243" s="226"/>
      <c r="O243" s="226"/>
      <c r="P243" s="226"/>
      <c r="Q243" s="226"/>
    </row>
    <row r="244" spans="2:17" ht="15.75" customHeight="1">
      <c r="B244" s="61"/>
      <c r="F244" s="35"/>
      <c r="G244" s="76"/>
      <c r="H244" s="153"/>
      <c r="I244" s="153"/>
      <c r="J244" s="2"/>
      <c r="K244" s="107"/>
      <c r="L244" s="226"/>
      <c r="M244" s="226"/>
      <c r="N244" s="226"/>
      <c r="O244" s="226"/>
      <c r="P244" s="226"/>
      <c r="Q244" s="226"/>
    </row>
    <row r="245" spans="2:17" ht="15.75" customHeight="1">
      <c r="B245" s="61"/>
      <c r="F245" s="35"/>
      <c r="G245" s="76"/>
      <c r="H245" s="153"/>
      <c r="I245" s="153"/>
      <c r="J245" s="2"/>
      <c r="K245" s="107"/>
      <c r="L245" s="226"/>
      <c r="M245" s="226"/>
      <c r="N245" s="226"/>
      <c r="O245" s="226"/>
      <c r="P245" s="226"/>
      <c r="Q245" s="226"/>
    </row>
    <row r="246" spans="2:17" ht="15.75" customHeight="1">
      <c r="B246" s="61"/>
      <c r="F246" s="35"/>
      <c r="G246" s="76"/>
      <c r="H246" s="153"/>
      <c r="I246" s="153"/>
      <c r="J246" s="2"/>
      <c r="K246" s="107"/>
      <c r="L246" s="226"/>
      <c r="M246" s="226"/>
      <c r="N246" s="226"/>
      <c r="O246" s="226"/>
      <c r="P246" s="226"/>
      <c r="Q246" s="226"/>
    </row>
    <row r="247" spans="1:17" ht="15.75" customHeight="1" thickBot="1">
      <c r="A247" s="77"/>
      <c r="B247" s="77"/>
      <c r="C247" s="105"/>
      <c r="D247" s="77"/>
      <c r="E247" s="78"/>
      <c r="F247" s="138"/>
      <c r="G247" s="290"/>
      <c r="H247" s="291"/>
      <c r="I247" s="291"/>
      <c r="J247" s="106"/>
      <c r="K247" s="78"/>
      <c r="L247" s="80"/>
      <c r="M247" s="80"/>
      <c r="N247" s="137"/>
      <c r="O247" s="81"/>
      <c r="P247" s="80"/>
      <c r="Q247" s="80"/>
    </row>
    <row r="248" spans="1:17" s="367" customFormat="1" ht="27.75" customHeight="1" thickBot="1" thickTop="1">
      <c r="A248" s="368"/>
      <c r="B248" s="369" t="str">
        <f>B83</f>
        <v>TABLE III - DETAIL OF TREASURY SECURITIES OUTSTANDING, JUNE 30, 2005 -- Continued</v>
      </c>
      <c r="C248" s="370"/>
      <c r="D248" s="370"/>
      <c r="E248" s="370"/>
      <c r="F248" s="370"/>
      <c r="G248" s="370"/>
      <c r="H248" s="370"/>
      <c r="I248" s="370"/>
      <c r="J248" s="370"/>
      <c r="K248" s="370"/>
      <c r="L248" s="370"/>
      <c r="M248" s="370"/>
      <c r="N248" s="370"/>
      <c r="O248" s="370"/>
      <c r="P248" s="370"/>
      <c r="Q248" s="371">
        <v>5</v>
      </c>
    </row>
    <row r="249" spans="3:17" ht="30.75" customHeight="1" thickTop="1">
      <c r="C249" s="71"/>
      <c r="G249" s="12" t="s">
        <v>845</v>
      </c>
      <c r="H249" s="12" t="s">
        <v>105</v>
      </c>
      <c r="I249" s="12" t="s">
        <v>104</v>
      </c>
      <c r="J249" s="24"/>
      <c r="K249" s="26" t="s">
        <v>846</v>
      </c>
      <c r="L249" s="12" t="s">
        <v>101</v>
      </c>
      <c r="M249" s="2"/>
      <c r="N249" s="2"/>
      <c r="O249" s="2"/>
      <c r="P249" s="2"/>
      <c r="Q249" s="2"/>
    </row>
    <row r="250" spans="1:12" ht="15.75" customHeight="1">
      <c r="A250" s="2" t="s">
        <v>102</v>
      </c>
      <c r="B250" s="2"/>
      <c r="C250" s="2"/>
      <c r="D250" s="2"/>
      <c r="E250" s="2"/>
      <c r="F250" s="2"/>
      <c r="G250" s="26" t="s">
        <v>103</v>
      </c>
      <c r="H250" s="26"/>
      <c r="I250" s="441"/>
      <c r="J250" s="442"/>
      <c r="K250" s="26" t="s">
        <v>105</v>
      </c>
      <c r="L250" s="10"/>
    </row>
    <row r="251" spans="1:17" ht="16.5" customHeight="1">
      <c r="A251" s="11"/>
      <c r="B251" s="11"/>
      <c r="C251" s="11"/>
      <c r="D251" s="11"/>
      <c r="E251" s="11"/>
      <c r="F251" s="11"/>
      <c r="G251" s="27"/>
      <c r="H251" s="27"/>
      <c r="I251" s="27"/>
      <c r="J251" s="28"/>
      <c r="K251" s="49"/>
      <c r="L251" s="29" t="s">
        <v>106</v>
      </c>
      <c r="M251" s="30"/>
      <c r="N251" s="29" t="s">
        <v>83</v>
      </c>
      <c r="O251" s="30"/>
      <c r="P251" s="29" t="s">
        <v>65</v>
      </c>
      <c r="Q251" s="30"/>
    </row>
    <row r="252" spans="1:17" ht="33.75" customHeight="1">
      <c r="A252" s="48" t="s">
        <v>431</v>
      </c>
      <c r="B252" s="48"/>
      <c r="F252" s="309"/>
      <c r="G252" s="313"/>
      <c r="H252" s="37"/>
      <c r="I252" s="37"/>
      <c r="K252" s="54"/>
      <c r="L252" s="10"/>
      <c r="N252" s="10"/>
      <c r="P252" s="32"/>
      <c r="Q252" s="17"/>
    </row>
    <row r="253" spans="2:16" ht="21" customHeight="1">
      <c r="B253" t="s">
        <v>988</v>
      </c>
      <c r="C253" s="35"/>
      <c r="D253" s="52"/>
      <c r="F253" s="123" t="s">
        <v>372</v>
      </c>
      <c r="G253" s="37"/>
      <c r="H253" s="37"/>
      <c r="I253" s="37"/>
      <c r="K253" s="26"/>
      <c r="L253" s="10"/>
      <c r="N253" s="10"/>
      <c r="P253" s="10"/>
    </row>
    <row r="254" spans="2:16" ht="17.25" customHeight="1">
      <c r="B254" s="6" t="s">
        <v>86</v>
      </c>
      <c r="D254" s="2" t="s">
        <v>863</v>
      </c>
      <c r="E254" s="2" t="s">
        <v>864</v>
      </c>
      <c r="F254" s="2"/>
      <c r="G254" s="56"/>
      <c r="H254" s="37"/>
      <c r="I254" s="37"/>
      <c r="K254" s="26"/>
      <c r="L254" s="10"/>
      <c r="N254" s="10"/>
      <c r="P254" s="10"/>
    </row>
    <row r="255" spans="3:17" ht="15.75" customHeight="1">
      <c r="C255" s="6" t="s">
        <v>879</v>
      </c>
      <c r="D255" s="40" t="s">
        <v>871</v>
      </c>
      <c r="E255" s="353">
        <v>3.375</v>
      </c>
      <c r="F255" s="123"/>
      <c r="G255" s="38">
        <v>35467</v>
      </c>
      <c r="H255" s="354">
        <v>39097</v>
      </c>
      <c r="I255" s="72"/>
      <c r="J255" s="70"/>
      <c r="K255" s="26" t="s">
        <v>31</v>
      </c>
      <c r="L255" s="32">
        <v>15757.971</v>
      </c>
      <c r="M255" s="17"/>
      <c r="N255" s="89">
        <v>3592.65980829</v>
      </c>
      <c r="O255" s="22"/>
      <c r="P255" s="32">
        <f aca="true" t="shared" si="14" ref="P255:P263">L255+N255</f>
        <v>19350.63080829</v>
      </c>
      <c r="Q255" s="17"/>
    </row>
    <row r="256" spans="3:17" ht="15.75" customHeight="1">
      <c r="C256" s="6" t="s">
        <v>307</v>
      </c>
      <c r="D256" s="40" t="s">
        <v>871</v>
      </c>
      <c r="E256" s="353">
        <v>3.625</v>
      </c>
      <c r="F256" s="123"/>
      <c r="G256" s="38">
        <v>35810</v>
      </c>
      <c r="H256" s="354">
        <v>39462</v>
      </c>
      <c r="I256" s="72"/>
      <c r="J256" s="70"/>
      <c r="K256" s="26" t="s">
        <v>31</v>
      </c>
      <c r="L256" s="32">
        <v>16811.55</v>
      </c>
      <c r="M256" s="17"/>
      <c r="N256" s="89">
        <v>3434.263434</v>
      </c>
      <c r="O256" s="22"/>
      <c r="P256" s="32">
        <f t="shared" si="14"/>
        <v>20245.813434</v>
      </c>
      <c r="Q256" s="17"/>
    </row>
    <row r="257" spans="3:17" ht="15.75" customHeight="1">
      <c r="C257" s="6" t="s">
        <v>308</v>
      </c>
      <c r="D257" s="40" t="s">
        <v>871</v>
      </c>
      <c r="E257" s="353">
        <v>3.875</v>
      </c>
      <c r="F257" s="123"/>
      <c r="G257" s="42">
        <v>36175</v>
      </c>
      <c r="H257" s="354">
        <v>39828</v>
      </c>
      <c r="I257" s="72"/>
      <c r="J257" s="70"/>
      <c r="K257" s="26" t="s">
        <v>31</v>
      </c>
      <c r="L257" s="32">
        <v>15902.397</v>
      </c>
      <c r="M257" s="17"/>
      <c r="N257" s="89">
        <v>2962.93460904</v>
      </c>
      <c r="O257" s="22"/>
      <c r="P257" s="32">
        <f t="shared" si="14"/>
        <v>18865.33160904</v>
      </c>
      <c r="Q257" s="17"/>
    </row>
    <row r="258" spans="3:17" ht="15.75" customHeight="1">
      <c r="C258" s="6" t="s">
        <v>309</v>
      </c>
      <c r="D258" s="40" t="s">
        <v>871</v>
      </c>
      <c r="E258" s="353">
        <v>4.25</v>
      </c>
      <c r="F258" s="123"/>
      <c r="G258" s="42">
        <v>36543</v>
      </c>
      <c r="H258" s="354">
        <v>40193</v>
      </c>
      <c r="I258" s="72"/>
      <c r="J258" s="70"/>
      <c r="K258" s="26" t="s">
        <v>31</v>
      </c>
      <c r="L258" s="32">
        <v>11320.963</v>
      </c>
      <c r="M258" s="17"/>
      <c r="N258" s="89">
        <v>1770.48540357</v>
      </c>
      <c r="O258" s="22"/>
      <c r="P258" s="32">
        <f t="shared" si="14"/>
        <v>13091.44840357</v>
      </c>
      <c r="Q258" s="17"/>
    </row>
    <row r="259" spans="3:17" ht="15.75" customHeight="1">
      <c r="C259" s="6" t="s">
        <v>233</v>
      </c>
      <c r="D259" s="40" t="s">
        <v>1042</v>
      </c>
      <c r="E259" s="353">
        <v>0.875</v>
      </c>
      <c r="F259" s="123"/>
      <c r="G259" s="42">
        <v>38289</v>
      </c>
      <c r="H259" s="354">
        <v>40283</v>
      </c>
      <c r="I259" s="72"/>
      <c r="J259" s="70"/>
      <c r="K259" s="26" t="s">
        <v>1027</v>
      </c>
      <c r="L259" s="32">
        <v>21000.907</v>
      </c>
      <c r="M259" s="17"/>
      <c r="N259" s="89">
        <v>566.60447086</v>
      </c>
      <c r="O259" s="22"/>
      <c r="P259" s="32">
        <f t="shared" si="14"/>
        <v>21567.511470859998</v>
      </c>
      <c r="Q259" s="17"/>
    </row>
    <row r="260" spans="3:17" ht="15.75" customHeight="1">
      <c r="C260" s="6" t="s">
        <v>234</v>
      </c>
      <c r="D260" s="40" t="s">
        <v>871</v>
      </c>
      <c r="E260" s="353">
        <v>3.5</v>
      </c>
      <c r="F260" s="123"/>
      <c r="G260" s="42">
        <v>36907</v>
      </c>
      <c r="H260" s="354">
        <v>40558</v>
      </c>
      <c r="I260" s="72"/>
      <c r="J260" s="2"/>
      <c r="K260" s="26" t="s">
        <v>31</v>
      </c>
      <c r="L260" s="32">
        <v>11001.036</v>
      </c>
      <c r="M260" s="17"/>
      <c r="N260" s="41">
        <v>1296.4720926</v>
      </c>
      <c r="O260" s="35"/>
      <c r="P260" s="32">
        <f t="shared" si="14"/>
        <v>12297.508092600001</v>
      </c>
      <c r="Q260" s="17"/>
    </row>
    <row r="261" spans="3:17" ht="15.75" customHeight="1">
      <c r="C261" s="6" t="s">
        <v>310</v>
      </c>
      <c r="D261" s="40" t="s">
        <v>871</v>
      </c>
      <c r="E261" s="353">
        <v>3.375</v>
      </c>
      <c r="F261" s="123"/>
      <c r="G261" s="42">
        <v>37271</v>
      </c>
      <c r="H261" s="354">
        <v>40923</v>
      </c>
      <c r="I261" s="72"/>
      <c r="J261" s="2"/>
      <c r="K261" s="26" t="s">
        <v>31</v>
      </c>
      <c r="L261" s="32">
        <v>6004.283</v>
      </c>
      <c r="M261" s="17"/>
      <c r="N261" s="41">
        <v>574.6098831</v>
      </c>
      <c r="O261" s="22"/>
      <c r="P261" s="32">
        <f>L261+N261</f>
        <v>6578.8928831</v>
      </c>
      <c r="Q261" s="17"/>
    </row>
    <row r="262" spans="3:17" ht="15.75" customHeight="1">
      <c r="C262" s="6" t="s">
        <v>880</v>
      </c>
      <c r="D262" s="40" t="s">
        <v>1037</v>
      </c>
      <c r="E262" s="353">
        <v>3</v>
      </c>
      <c r="F262" s="123"/>
      <c r="G262" s="42">
        <v>37452</v>
      </c>
      <c r="H262" s="354">
        <v>41105</v>
      </c>
      <c r="I262" s="72"/>
      <c r="J262" s="2"/>
      <c r="K262" s="26" t="s">
        <v>868</v>
      </c>
      <c r="L262" s="32">
        <v>23017.701</v>
      </c>
      <c r="M262" s="17"/>
      <c r="N262" s="41">
        <v>1889.06272107</v>
      </c>
      <c r="O262" s="22"/>
      <c r="P262" s="32">
        <f>L262+N262</f>
        <v>24906.76372107</v>
      </c>
      <c r="Q262" s="17"/>
    </row>
    <row r="263" spans="3:17" ht="15.75" customHeight="1">
      <c r="C263" s="6" t="s">
        <v>311</v>
      </c>
      <c r="D263" s="40" t="s">
        <v>1037</v>
      </c>
      <c r="E263" s="353">
        <v>1.875</v>
      </c>
      <c r="F263" s="123"/>
      <c r="G263" s="42">
        <v>37817</v>
      </c>
      <c r="H263" s="354">
        <v>41470</v>
      </c>
      <c r="I263" s="72"/>
      <c r="J263" s="2"/>
      <c r="K263" s="26" t="s">
        <v>868</v>
      </c>
      <c r="L263" s="32">
        <v>20008.319</v>
      </c>
      <c r="M263" s="17"/>
      <c r="N263" s="41">
        <v>1186.4933167</v>
      </c>
      <c r="O263" s="22"/>
      <c r="P263" s="32">
        <f t="shared" si="14"/>
        <v>21194.8123167</v>
      </c>
      <c r="Q263" s="17"/>
    </row>
    <row r="264" spans="3:17" ht="15.75" customHeight="1">
      <c r="C264" s="6" t="s">
        <v>312</v>
      </c>
      <c r="D264" s="40" t="s">
        <v>871</v>
      </c>
      <c r="E264" s="353">
        <v>2</v>
      </c>
      <c r="F264" s="123"/>
      <c r="G264" s="42">
        <v>38001</v>
      </c>
      <c r="H264" s="354">
        <v>41654</v>
      </c>
      <c r="I264" s="72"/>
      <c r="J264" s="2"/>
      <c r="K264" s="26" t="s">
        <v>31</v>
      </c>
      <c r="L264" s="32">
        <v>21001.562</v>
      </c>
      <c r="M264" s="17"/>
      <c r="N264" s="41">
        <v>1111.82269228</v>
      </c>
      <c r="O264" s="22"/>
      <c r="P264" s="32">
        <f aca="true" t="shared" si="15" ref="P264:P270">L264+N264</f>
        <v>22113.38469228</v>
      </c>
      <c r="Q264" s="17"/>
    </row>
    <row r="265" spans="3:17" ht="15.75" customHeight="1">
      <c r="C265" s="6" t="s">
        <v>313</v>
      </c>
      <c r="D265" s="40" t="s">
        <v>1042</v>
      </c>
      <c r="E265" s="353">
        <v>2</v>
      </c>
      <c r="F265" s="123"/>
      <c r="G265" s="42">
        <v>38183</v>
      </c>
      <c r="H265" s="354">
        <v>41835</v>
      </c>
      <c r="I265" s="72"/>
      <c r="J265" s="2"/>
      <c r="K265" s="26" t="s">
        <v>868</v>
      </c>
      <c r="L265" s="32">
        <v>19002.244</v>
      </c>
      <c r="M265" s="17"/>
      <c r="N265" s="41">
        <v>610.9221446</v>
      </c>
      <c r="O265" s="22"/>
      <c r="P265" s="32">
        <f t="shared" si="15"/>
        <v>19613.1661446</v>
      </c>
      <c r="Q265" s="17"/>
    </row>
    <row r="266" spans="3:17" ht="15.75" customHeight="1">
      <c r="C266" s="6" t="s">
        <v>314</v>
      </c>
      <c r="D266" s="40" t="s">
        <v>871</v>
      </c>
      <c r="E266" s="353">
        <v>1.625</v>
      </c>
      <c r="F266" s="123"/>
      <c r="G266" s="42">
        <v>38370</v>
      </c>
      <c r="H266" s="354">
        <v>42019</v>
      </c>
      <c r="I266" s="72"/>
      <c r="J266" s="2"/>
      <c r="K266" s="26" t="s">
        <v>31</v>
      </c>
      <c r="L266" s="32">
        <v>19001.262</v>
      </c>
      <c r="M266" s="17"/>
      <c r="N266" s="41">
        <v>359.31386442</v>
      </c>
      <c r="O266" s="22"/>
      <c r="P266" s="32">
        <f t="shared" si="15"/>
        <v>19360.57586442</v>
      </c>
      <c r="Q266" s="17"/>
    </row>
    <row r="267" spans="2:17" ht="15.75" customHeight="1">
      <c r="B267" s="69"/>
      <c r="C267" s="6" t="s">
        <v>549</v>
      </c>
      <c r="D267" s="40"/>
      <c r="E267" s="353">
        <v>2.375</v>
      </c>
      <c r="F267" s="123"/>
      <c r="G267" s="38">
        <v>38198</v>
      </c>
      <c r="H267" s="354">
        <v>45672</v>
      </c>
      <c r="I267" s="72"/>
      <c r="J267" s="70"/>
      <c r="K267" s="26" t="s">
        <v>868</v>
      </c>
      <c r="L267" s="32">
        <v>22000.349</v>
      </c>
      <c r="M267" s="17"/>
      <c r="N267" s="89">
        <v>707.31122035</v>
      </c>
      <c r="O267" s="22"/>
      <c r="P267" s="32">
        <f t="shared" si="15"/>
        <v>22707.660220349997</v>
      </c>
      <c r="Q267" s="17"/>
    </row>
    <row r="268" spans="2:17" ht="15.75" customHeight="1">
      <c r="B268" s="69"/>
      <c r="C268" s="6" t="s">
        <v>315</v>
      </c>
      <c r="D268" s="40"/>
      <c r="E268" s="353">
        <v>3.625</v>
      </c>
      <c r="F268" s="123"/>
      <c r="G268" s="38">
        <v>35900</v>
      </c>
      <c r="H268" s="354">
        <v>46858</v>
      </c>
      <c r="I268" s="72"/>
      <c r="J268" s="70"/>
      <c r="K268" s="26" t="s">
        <v>753</v>
      </c>
      <c r="L268" s="32">
        <v>16808.478</v>
      </c>
      <c r="M268" s="17"/>
      <c r="N268" s="89">
        <v>3380.3676862</v>
      </c>
      <c r="O268" s="22"/>
      <c r="P268" s="32">
        <f t="shared" si="15"/>
        <v>20188.8456862</v>
      </c>
      <c r="Q268" s="17"/>
    </row>
    <row r="269" spans="2:16" ht="15.75" customHeight="1">
      <c r="B269" s="69"/>
      <c r="C269" s="6" t="s">
        <v>316</v>
      </c>
      <c r="D269" s="40"/>
      <c r="E269" s="353">
        <v>3.875</v>
      </c>
      <c r="F269" s="123"/>
      <c r="G269" s="42">
        <v>36265</v>
      </c>
      <c r="H269" s="354">
        <v>47223</v>
      </c>
      <c r="I269" s="72"/>
      <c r="J269" s="70"/>
      <c r="K269" s="26" t="s">
        <v>753</v>
      </c>
      <c r="L269" s="32">
        <v>19722.104</v>
      </c>
      <c r="M269" s="17"/>
      <c r="N269" s="89">
        <v>3352.09194592</v>
      </c>
      <c r="O269" s="22"/>
      <c r="P269" s="32">
        <f t="shared" si="15"/>
        <v>23074.19594592</v>
      </c>
    </row>
    <row r="270" spans="2:16" ht="15.75" customHeight="1">
      <c r="B270" s="69"/>
      <c r="C270" s="6" t="s">
        <v>317</v>
      </c>
      <c r="D270" s="40"/>
      <c r="E270" s="353">
        <v>3.375</v>
      </c>
      <c r="F270" s="123"/>
      <c r="G270" s="42">
        <v>37179</v>
      </c>
      <c r="H270" s="354">
        <v>48319</v>
      </c>
      <c r="I270" s="72"/>
      <c r="J270" s="70"/>
      <c r="K270" s="26" t="s">
        <v>1027</v>
      </c>
      <c r="L270" s="32">
        <v>5012.235</v>
      </c>
      <c r="M270" s="17"/>
      <c r="N270" s="89">
        <v>481.62566115</v>
      </c>
      <c r="O270" s="22"/>
      <c r="P270" s="32">
        <f t="shared" si="15"/>
        <v>5493.86066115</v>
      </c>
    </row>
    <row r="271" spans="2:17" s="61" customFormat="1" ht="21" customHeight="1">
      <c r="B271" s="189" t="s">
        <v>989</v>
      </c>
      <c r="F271" s="337"/>
      <c r="G271" s="336"/>
      <c r="H271" s="335" t="s">
        <v>758</v>
      </c>
      <c r="I271" s="355" t="s">
        <v>758</v>
      </c>
      <c r="J271" s="331"/>
      <c r="K271" s="335" t="s">
        <v>758</v>
      </c>
      <c r="L271" s="333">
        <f>SUM(L255:L270)</f>
        <v>263373.361</v>
      </c>
      <c r="M271" s="327"/>
      <c r="N271" s="326">
        <f>SUM(N255:N270)</f>
        <v>27277.040954149998</v>
      </c>
      <c r="O271" s="328"/>
      <c r="P271" s="329">
        <f>L271+N271</f>
        <v>290650.40195414994</v>
      </c>
      <c r="Q271" s="338"/>
    </row>
    <row r="272" spans="1:17" s="61" customFormat="1" ht="42" customHeight="1">
      <c r="A272" s="189" t="s">
        <v>70</v>
      </c>
      <c r="F272" s="337"/>
      <c r="G272" s="336"/>
      <c r="H272" s="335" t="s">
        <v>71</v>
      </c>
      <c r="I272" s="355" t="s">
        <v>71</v>
      </c>
      <c r="J272" s="331"/>
      <c r="K272" s="335" t="s">
        <v>71</v>
      </c>
      <c r="L272" s="340">
        <v>14000.01</v>
      </c>
      <c r="M272" s="341"/>
      <c r="N272" s="340">
        <v>0</v>
      </c>
      <c r="O272" s="342"/>
      <c r="P272" s="343">
        <f>L272+N272</f>
        <v>14000.01</v>
      </c>
      <c r="Q272" s="344"/>
    </row>
    <row r="273" spans="1:17" ht="33.75" customHeight="1" thickBot="1">
      <c r="A273" s="188" t="s">
        <v>990</v>
      </c>
      <c r="B273" s="188"/>
      <c r="F273" s="57"/>
      <c r="G273" s="330"/>
      <c r="H273" s="335" t="s">
        <v>758</v>
      </c>
      <c r="I273" s="355" t="s">
        <v>758</v>
      </c>
      <c r="J273" s="332"/>
      <c r="K273" s="335" t="s">
        <v>758</v>
      </c>
      <c r="L273" s="334">
        <f>+L271+L224+L159+L53+L272-1</f>
        <v>4070892.7693499997</v>
      </c>
      <c r="M273" s="104"/>
      <c r="N273" s="88">
        <f>+N271+N224+N159+N53+N272</f>
        <v>-39797.15904585</v>
      </c>
      <c r="O273" s="104"/>
      <c r="P273" s="194">
        <f>+L273+N273</f>
        <v>4031095.61030415</v>
      </c>
      <c r="Q273" s="103"/>
    </row>
    <row r="274" spans="6:17" ht="15.75" customHeight="1" thickTop="1">
      <c r="F274" s="90"/>
      <c r="G274" s="91"/>
      <c r="H274" s="91"/>
      <c r="I274" s="91"/>
      <c r="J274" s="5"/>
      <c r="K274" s="92"/>
      <c r="L274" s="93"/>
      <c r="M274" s="94"/>
      <c r="N274" s="93"/>
      <c r="O274" s="94"/>
      <c r="P274" s="93"/>
      <c r="Q274" s="95"/>
    </row>
    <row r="275" spans="6:17" ht="15.75" customHeight="1">
      <c r="F275" s="90"/>
      <c r="G275" s="91"/>
      <c r="H275" s="91"/>
      <c r="I275" s="91"/>
      <c r="J275" s="5"/>
      <c r="K275" s="92"/>
      <c r="L275" s="93"/>
      <c r="M275" s="94"/>
      <c r="N275" s="93"/>
      <c r="O275" s="94"/>
      <c r="P275" s="93"/>
      <c r="Q275" s="95"/>
    </row>
    <row r="276" spans="6:17" ht="15.75" customHeight="1">
      <c r="F276" s="90"/>
      <c r="G276" s="91"/>
      <c r="H276" s="91"/>
      <c r="I276" s="91"/>
      <c r="J276" s="5"/>
      <c r="K276" s="92"/>
      <c r="L276" s="93"/>
      <c r="M276" s="94"/>
      <c r="N276" s="93"/>
      <c r="O276" s="94"/>
      <c r="P276" s="93"/>
      <c r="Q276" s="95"/>
    </row>
    <row r="277" spans="6:17" ht="15.75" customHeight="1">
      <c r="F277" s="90"/>
      <c r="G277" s="91"/>
      <c r="H277" s="91"/>
      <c r="I277" s="91"/>
      <c r="J277" s="5"/>
      <c r="K277" s="92"/>
      <c r="L277" s="93"/>
      <c r="M277" s="94"/>
      <c r="N277" s="93"/>
      <c r="O277" s="94"/>
      <c r="P277" s="93"/>
      <c r="Q277" s="95"/>
    </row>
    <row r="278" spans="6:17" ht="15.75" customHeight="1">
      <c r="F278" s="90"/>
      <c r="G278" s="91"/>
      <c r="H278" s="91"/>
      <c r="I278" s="91"/>
      <c r="J278" s="5"/>
      <c r="K278" s="92"/>
      <c r="L278" s="93"/>
      <c r="M278" s="94"/>
      <c r="N278" s="93"/>
      <c r="O278" s="94"/>
      <c r="P278" s="93"/>
      <c r="Q278" s="95"/>
    </row>
    <row r="279" spans="6:17" ht="15.75" customHeight="1">
      <c r="F279" s="90"/>
      <c r="G279" s="91"/>
      <c r="H279" s="91"/>
      <c r="I279" s="91"/>
      <c r="J279" s="5"/>
      <c r="K279" s="92"/>
      <c r="L279" s="93"/>
      <c r="M279" s="94"/>
      <c r="N279" s="93"/>
      <c r="O279" s="94"/>
      <c r="P279" s="93"/>
      <c r="Q279" s="95"/>
    </row>
    <row r="280" spans="6:17" ht="15.75" customHeight="1">
      <c r="F280" s="90"/>
      <c r="G280" s="91"/>
      <c r="H280" s="91"/>
      <c r="I280" s="91"/>
      <c r="J280" s="5"/>
      <c r="K280" s="92"/>
      <c r="L280" s="93"/>
      <c r="M280" s="94"/>
      <c r="N280" s="93"/>
      <c r="O280" s="94"/>
      <c r="P280" s="93"/>
      <c r="Q280" s="95"/>
    </row>
    <row r="281" spans="6:17" ht="15.75" customHeight="1">
      <c r="F281" s="90"/>
      <c r="G281" s="91"/>
      <c r="H281" s="91"/>
      <c r="I281" s="91"/>
      <c r="J281" s="5"/>
      <c r="K281" s="92"/>
      <c r="L281" s="93"/>
      <c r="M281" s="94"/>
      <c r="N281" s="93"/>
      <c r="O281" s="94"/>
      <c r="P281" s="93"/>
      <c r="Q281" s="95"/>
    </row>
    <row r="282" spans="6:17" ht="15.75" customHeight="1">
      <c r="F282" s="90"/>
      <c r="G282" s="91"/>
      <c r="H282" s="91"/>
      <c r="I282" s="91"/>
      <c r="J282" s="5"/>
      <c r="K282" s="92"/>
      <c r="L282" s="93"/>
      <c r="M282" s="94"/>
      <c r="N282" s="93"/>
      <c r="O282" s="94"/>
      <c r="P282" s="93"/>
      <c r="Q282" s="95"/>
    </row>
    <row r="283" spans="6:17" ht="15.75" customHeight="1">
      <c r="F283" s="90"/>
      <c r="G283" s="91"/>
      <c r="H283" s="91"/>
      <c r="I283" s="91"/>
      <c r="J283" s="5"/>
      <c r="K283" s="92"/>
      <c r="L283" s="93"/>
      <c r="M283" s="94"/>
      <c r="N283" s="93"/>
      <c r="O283" s="94"/>
      <c r="P283" s="93"/>
      <c r="Q283" s="95"/>
    </row>
    <row r="284" spans="6:17" ht="15.75" customHeight="1">
      <c r="F284" s="90"/>
      <c r="G284" s="91"/>
      <c r="H284" s="91"/>
      <c r="I284" s="91"/>
      <c r="J284" s="5"/>
      <c r="K284" s="92"/>
      <c r="L284" s="93"/>
      <c r="M284" s="94"/>
      <c r="N284" s="93"/>
      <c r="O284" s="94"/>
      <c r="P284" s="93"/>
      <c r="Q284" s="95"/>
    </row>
    <row r="285" spans="6:17" ht="15.75" customHeight="1">
      <c r="F285" s="90"/>
      <c r="G285" s="91"/>
      <c r="H285" s="91"/>
      <c r="I285" s="91"/>
      <c r="J285" s="5"/>
      <c r="K285" s="92"/>
      <c r="L285" s="93"/>
      <c r="M285" s="94"/>
      <c r="N285" s="93"/>
      <c r="O285" s="94"/>
      <c r="P285" s="93"/>
      <c r="Q285" s="95"/>
    </row>
    <row r="286" spans="6:17" ht="15.75" customHeight="1">
      <c r="F286" s="90"/>
      <c r="G286" s="91"/>
      <c r="H286" s="91"/>
      <c r="I286" s="91"/>
      <c r="J286" s="5"/>
      <c r="K286" s="92"/>
      <c r="L286" s="93"/>
      <c r="M286" s="94"/>
      <c r="N286" s="93"/>
      <c r="O286" s="94"/>
      <c r="P286" s="93"/>
      <c r="Q286" s="95"/>
    </row>
    <row r="287" spans="6:17" ht="15.75" customHeight="1">
      <c r="F287" s="90"/>
      <c r="G287" s="91"/>
      <c r="H287" s="91"/>
      <c r="I287" s="91"/>
      <c r="J287" s="5"/>
      <c r="K287" s="92"/>
      <c r="L287" s="93"/>
      <c r="M287" s="94"/>
      <c r="N287" s="93"/>
      <c r="O287" s="94"/>
      <c r="P287" s="93"/>
      <c r="Q287" s="95"/>
    </row>
    <row r="288" spans="6:17" ht="15.75" customHeight="1">
      <c r="F288" s="90"/>
      <c r="G288" s="91"/>
      <c r="H288" s="91"/>
      <c r="I288" s="91"/>
      <c r="J288" s="5"/>
      <c r="K288" s="92"/>
      <c r="L288" s="93"/>
      <c r="M288" s="94"/>
      <c r="N288" s="93"/>
      <c r="O288" s="94"/>
      <c r="P288" s="93"/>
      <c r="Q288" s="95"/>
    </row>
    <row r="289" spans="6:17" ht="15.75" customHeight="1">
      <c r="F289" s="90"/>
      <c r="G289" s="91"/>
      <c r="H289" s="91"/>
      <c r="I289" s="91"/>
      <c r="J289" s="5"/>
      <c r="K289" s="92"/>
      <c r="L289" s="93"/>
      <c r="M289" s="94"/>
      <c r="N289" s="93"/>
      <c r="O289" s="94"/>
      <c r="P289" s="93"/>
      <c r="Q289" s="95"/>
    </row>
    <row r="290" spans="6:17" ht="15.75" customHeight="1">
      <c r="F290" s="90"/>
      <c r="G290" s="91"/>
      <c r="H290" s="91"/>
      <c r="I290" s="91"/>
      <c r="J290" s="5"/>
      <c r="K290" s="92"/>
      <c r="L290" s="93"/>
      <c r="M290" s="94"/>
      <c r="N290" s="93"/>
      <c r="O290" s="94"/>
      <c r="P290" s="93"/>
      <c r="Q290" s="95"/>
    </row>
    <row r="291" spans="6:17" ht="15.75" customHeight="1">
      <c r="F291" s="90"/>
      <c r="G291" s="91"/>
      <c r="H291" s="91"/>
      <c r="I291" s="91"/>
      <c r="J291" s="5"/>
      <c r="K291" s="92"/>
      <c r="L291" s="93"/>
      <c r="M291" s="94"/>
      <c r="N291" s="93"/>
      <c r="O291" s="94"/>
      <c r="P291" s="93"/>
      <c r="Q291" s="95"/>
    </row>
    <row r="292" spans="6:17" ht="15.75" customHeight="1">
      <c r="F292" s="90"/>
      <c r="G292" s="91"/>
      <c r="H292" s="91"/>
      <c r="I292" s="91"/>
      <c r="J292" s="5"/>
      <c r="K292" s="92"/>
      <c r="L292" s="93"/>
      <c r="M292" s="94"/>
      <c r="N292" s="93"/>
      <c r="O292" s="94"/>
      <c r="P292" s="93"/>
      <c r="Q292" s="95"/>
    </row>
    <row r="293" spans="6:17" ht="15.75" customHeight="1">
      <c r="F293" s="90"/>
      <c r="G293" s="91"/>
      <c r="H293" s="91"/>
      <c r="I293" s="91"/>
      <c r="J293" s="5"/>
      <c r="K293" s="92"/>
      <c r="L293" s="93"/>
      <c r="M293" s="94"/>
      <c r="N293" s="93"/>
      <c r="O293" s="94"/>
      <c r="P293" s="93"/>
      <c r="Q293" s="95"/>
    </row>
    <row r="294" spans="6:17" ht="15.75" customHeight="1">
      <c r="F294" s="90"/>
      <c r="G294" s="91"/>
      <c r="H294" s="91"/>
      <c r="I294" s="91"/>
      <c r="J294" s="5"/>
      <c r="K294" s="92"/>
      <c r="L294" s="93"/>
      <c r="M294" s="94"/>
      <c r="N294" s="93"/>
      <c r="O294" s="94"/>
      <c r="P294" s="93"/>
      <c r="Q294" s="95"/>
    </row>
    <row r="295" spans="6:17" ht="15.75" customHeight="1">
      <c r="F295" s="90"/>
      <c r="G295" s="91"/>
      <c r="H295" s="91"/>
      <c r="I295" s="91"/>
      <c r="J295" s="5"/>
      <c r="K295" s="92"/>
      <c r="L295" s="93"/>
      <c r="M295" s="94"/>
      <c r="N295" s="93"/>
      <c r="O295" s="94"/>
      <c r="P295" s="93"/>
      <c r="Q295" s="95"/>
    </row>
    <row r="296" spans="6:17" ht="15.75" customHeight="1">
      <c r="F296" s="90"/>
      <c r="G296" s="91"/>
      <c r="H296" s="91"/>
      <c r="I296" s="91"/>
      <c r="J296" s="5"/>
      <c r="K296" s="92"/>
      <c r="L296" s="93"/>
      <c r="M296" s="94"/>
      <c r="N296" s="93"/>
      <c r="O296" s="94"/>
      <c r="P296" s="93"/>
      <c r="Q296" s="95"/>
    </row>
    <row r="297" spans="6:17" ht="15.75" customHeight="1">
      <c r="F297" s="90"/>
      <c r="G297" s="91"/>
      <c r="H297" s="91"/>
      <c r="I297" s="91"/>
      <c r="J297" s="5"/>
      <c r="K297" s="92"/>
      <c r="L297" s="93"/>
      <c r="M297" s="94"/>
      <c r="N297" s="93"/>
      <c r="O297" s="94"/>
      <c r="P297" s="93"/>
      <c r="Q297" s="95"/>
    </row>
    <row r="298" spans="6:17" ht="15.75" customHeight="1">
      <c r="F298" s="90"/>
      <c r="G298" s="91"/>
      <c r="H298" s="91"/>
      <c r="I298" s="91"/>
      <c r="J298" s="5"/>
      <c r="K298" s="92"/>
      <c r="L298" s="93"/>
      <c r="M298" s="94"/>
      <c r="N298" s="93"/>
      <c r="O298" s="94"/>
      <c r="P298" s="93"/>
      <c r="Q298" s="95"/>
    </row>
    <row r="299" spans="6:17" ht="15.75" customHeight="1">
      <c r="F299" s="90"/>
      <c r="G299" s="91"/>
      <c r="H299" s="91"/>
      <c r="I299" s="91"/>
      <c r="J299" s="5"/>
      <c r="K299" s="92"/>
      <c r="L299" s="93"/>
      <c r="M299" s="94"/>
      <c r="N299" s="93"/>
      <c r="O299" s="94"/>
      <c r="P299" s="93"/>
      <c r="Q299" s="95"/>
    </row>
    <row r="300" spans="6:17" ht="15.75" customHeight="1">
      <c r="F300" s="90"/>
      <c r="G300" s="91"/>
      <c r="H300" s="91"/>
      <c r="I300" s="91"/>
      <c r="J300" s="5"/>
      <c r="K300" s="92"/>
      <c r="L300" s="93"/>
      <c r="M300" s="94"/>
      <c r="N300" s="93"/>
      <c r="O300" s="94"/>
      <c r="P300" s="93"/>
      <c r="Q300" s="95"/>
    </row>
    <row r="301" spans="6:17" ht="15.75" customHeight="1">
      <c r="F301" s="90"/>
      <c r="G301" s="91"/>
      <c r="H301" s="91"/>
      <c r="I301" s="91"/>
      <c r="J301" s="5"/>
      <c r="K301" s="92"/>
      <c r="L301" s="93"/>
      <c r="M301" s="94"/>
      <c r="N301" s="93"/>
      <c r="O301" s="94"/>
      <c r="P301" s="93"/>
      <c r="Q301" s="95"/>
    </row>
    <row r="302" spans="6:17" ht="15.75" customHeight="1">
      <c r="F302" s="90"/>
      <c r="G302" s="91"/>
      <c r="H302" s="91"/>
      <c r="I302" s="91"/>
      <c r="J302" s="5"/>
      <c r="K302" s="92"/>
      <c r="L302" s="93"/>
      <c r="M302" s="94"/>
      <c r="N302" s="93"/>
      <c r="O302" s="94"/>
      <c r="P302" s="93"/>
      <c r="Q302" s="95"/>
    </row>
    <row r="303" spans="6:17" ht="15.75" customHeight="1">
      <c r="F303" s="90"/>
      <c r="G303" s="91"/>
      <c r="H303" s="91"/>
      <c r="I303" s="91"/>
      <c r="J303" s="5"/>
      <c r="K303" s="92"/>
      <c r="L303" s="93"/>
      <c r="M303" s="94"/>
      <c r="N303" s="93"/>
      <c r="O303" s="94"/>
      <c r="P303" s="93"/>
      <c r="Q303" s="95"/>
    </row>
    <row r="304" spans="6:17" ht="15.75" customHeight="1">
      <c r="F304" s="90"/>
      <c r="G304" s="91"/>
      <c r="H304" s="91"/>
      <c r="I304" s="91"/>
      <c r="J304" s="5"/>
      <c r="K304" s="92"/>
      <c r="L304" s="93"/>
      <c r="M304" s="94"/>
      <c r="N304" s="93"/>
      <c r="O304" s="94"/>
      <c r="P304" s="93"/>
      <c r="Q304" s="95"/>
    </row>
    <row r="305" spans="6:17" ht="15.75" customHeight="1">
      <c r="F305" s="90"/>
      <c r="G305" s="91"/>
      <c r="H305" s="91"/>
      <c r="I305" s="91"/>
      <c r="J305" s="5"/>
      <c r="K305" s="92"/>
      <c r="L305" s="93"/>
      <c r="M305" s="94"/>
      <c r="N305" s="93"/>
      <c r="O305" s="94"/>
      <c r="P305" s="93"/>
      <c r="Q305" s="95"/>
    </row>
    <row r="306" spans="6:17" ht="15.75" customHeight="1">
      <c r="F306" s="90"/>
      <c r="G306" s="91"/>
      <c r="H306" s="91"/>
      <c r="I306" s="91"/>
      <c r="J306" s="5"/>
      <c r="K306" s="92"/>
      <c r="L306" s="93"/>
      <c r="M306" s="94"/>
      <c r="N306" s="93"/>
      <c r="O306" s="94"/>
      <c r="P306" s="93"/>
      <c r="Q306" s="95"/>
    </row>
    <row r="307" spans="6:17" ht="15.75" customHeight="1">
      <c r="F307" s="90"/>
      <c r="G307" s="91"/>
      <c r="H307" s="91"/>
      <c r="I307" s="91"/>
      <c r="J307" s="5"/>
      <c r="K307" s="92"/>
      <c r="L307" s="93"/>
      <c r="M307" s="94"/>
      <c r="N307" s="93"/>
      <c r="O307" s="94"/>
      <c r="P307" s="93"/>
      <c r="Q307" s="95"/>
    </row>
    <row r="308" spans="6:17" ht="15.75" customHeight="1">
      <c r="F308" s="90"/>
      <c r="G308" s="91"/>
      <c r="H308" s="91"/>
      <c r="I308" s="91"/>
      <c r="J308" s="5"/>
      <c r="K308" s="92"/>
      <c r="L308" s="93"/>
      <c r="M308" s="94"/>
      <c r="N308" s="93"/>
      <c r="O308" s="94"/>
      <c r="P308" s="93"/>
      <c r="Q308" s="95"/>
    </row>
    <row r="309" spans="6:17" ht="15.75" customHeight="1">
      <c r="F309" s="90"/>
      <c r="G309" s="91"/>
      <c r="H309" s="91"/>
      <c r="I309" s="91"/>
      <c r="J309" s="5"/>
      <c r="K309" s="92"/>
      <c r="L309" s="93"/>
      <c r="M309" s="94"/>
      <c r="N309" s="93"/>
      <c r="O309" s="94"/>
      <c r="P309" s="93"/>
      <c r="Q309" s="95"/>
    </row>
    <row r="310" spans="6:17" ht="15.75" customHeight="1">
      <c r="F310" s="90"/>
      <c r="G310" s="91"/>
      <c r="H310" s="91"/>
      <c r="I310" s="91"/>
      <c r="J310" s="5"/>
      <c r="K310" s="92"/>
      <c r="L310" s="93"/>
      <c r="M310" s="94"/>
      <c r="N310" s="93"/>
      <c r="O310" s="94"/>
      <c r="P310" s="93"/>
      <c r="Q310" s="95"/>
    </row>
    <row r="311" spans="6:17" ht="15.75" customHeight="1">
      <c r="F311" s="90"/>
      <c r="G311" s="91"/>
      <c r="H311" s="91"/>
      <c r="I311" s="91"/>
      <c r="J311" s="5"/>
      <c r="K311" s="92"/>
      <c r="L311" s="93"/>
      <c r="M311" s="94"/>
      <c r="N311" s="93"/>
      <c r="O311" s="94"/>
      <c r="P311" s="93"/>
      <c r="Q311" s="95"/>
    </row>
    <row r="312" spans="6:17" ht="15.75" customHeight="1">
      <c r="F312" s="90"/>
      <c r="G312" s="91"/>
      <c r="H312" s="91"/>
      <c r="I312" s="91"/>
      <c r="J312" s="5"/>
      <c r="K312" s="92"/>
      <c r="L312" s="93"/>
      <c r="M312" s="94"/>
      <c r="N312" s="93"/>
      <c r="O312" s="94"/>
      <c r="P312" s="93"/>
      <c r="Q312" s="95"/>
    </row>
    <row r="313" spans="6:17" ht="15.75" customHeight="1">
      <c r="F313" s="90"/>
      <c r="G313" s="91"/>
      <c r="H313" s="91"/>
      <c r="I313" s="91"/>
      <c r="J313" s="5"/>
      <c r="K313" s="92"/>
      <c r="L313" s="93"/>
      <c r="M313" s="94"/>
      <c r="N313" s="93"/>
      <c r="O313" s="94"/>
      <c r="P313" s="93"/>
      <c r="Q313" s="95"/>
    </row>
    <row r="314" spans="6:17" ht="15.75" customHeight="1">
      <c r="F314" s="90"/>
      <c r="G314" s="91"/>
      <c r="H314" s="91"/>
      <c r="I314" s="91"/>
      <c r="J314" s="5"/>
      <c r="K314" s="92"/>
      <c r="L314" s="93"/>
      <c r="M314" s="94"/>
      <c r="N314" s="93"/>
      <c r="O314" s="94"/>
      <c r="P314" s="93"/>
      <c r="Q314" s="95"/>
    </row>
    <row r="315" spans="6:17" ht="15.75" customHeight="1">
      <c r="F315" s="90"/>
      <c r="G315" s="91"/>
      <c r="H315" s="91"/>
      <c r="I315" s="91"/>
      <c r="J315" s="5"/>
      <c r="K315" s="92"/>
      <c r="L315" s="93"/>
      <c r="M315" s="94"/>
      <c r="N315" s="93"/>
      <c r="O315" s="94"/>
      <c r="P315" s="93"/>
      <c r="Q315" s="95"/>
    </row>
    <row r="316" spans="6:17" ht="15.75" customHeight="1">
      <c r="F316" s="90"/>
      <c r="G316" s="91"/>
      <c r="H316" s="91"/>
      <c r="I316" s="91"/>
      <c r="J316" s="5"/>
      <c r="K316" s="92"/>
      <c r="L316" s="93"/>
      <c r="M316" s="94"/>
      <c r="N316" s="93"/>
      <c r="O316" s="94"/>
      <c r="P316" s="93"/>
      <c r="Q316" s="95"/>
    </row>
    <row r="317" spans="6:17" ht="15.75" customHeight="1">
      <c r="F317" s="90"/>
      <c r="G317" s="91"/>
      <c r="H317" s="91"/>
      <c r="I317" s="91"/>
      <c r="J317" s="5"/>
      <c r="K317" s="92"/>
      <c r="L317" s="93"/>
      <c r="M317" s="94"/>
      <c r="N317" s="93"/>
      <c r="O317" s="94"/>
      <c r="P317" s="93"/>
      <c r="Q317" s="95"/>
    </row>
    <row r="318" spans="6:17" ht="15.75" customHeight="1">
      <c r="F318" s="90"/>
      <c r="G318" s="91"/>
      <c r="H318" s="91"/>
      <c r="I318" s="91"/>
      <c r="J318" s="5"/>
      <c r="K318" s="92"/>
      <c r="L318" s="93"/>
      <c r="M318" s="94"/>
      <c r="N318" s="93"/>
      <c r="O318" s="94"/>
      <c r="P318" s="93"/>
      <c r="Q318" s="95"/>
    </row>
    <row r="319" spans="6:17" ht="15.75" customHeight="1">
      <c r="F319" s="90"/>
      <c r="G319" s="91"/>
      <c r="H319" s="91"/>
      <c r="I319" s="91"/>
      <c r="J319" s="5"/>
      <c r="K319" s="92"/>
      <c r="L319" s="93"/>
      <c r="M319" s="94"/>
      <c r="N319" s="93"/>
      <c r="O319" s="94"/>
      <c r="P319" s="93"/>
      <c r="Q319" s="95"/>
    </row>
    <row r="320" spans="6:17" ht="15.75" customHeight="1">
      <c r="F320" s="90"/>
      <c r="G320" s="91"/>
      <c r="H320" s="91"/>
      <c r="I320" s="91"/>
      <c r="J320" s="5"/>
      <c r="K320" s="92"/>
      <c r="L320" s="93"/>
      <c r="M320" s="94"/>
      <c r="N320" s="93"/>
      <c r="O320" s="94"/>
      <c r="P320" s="93"/>
      <c r="Q320" s="95"/>
    </row>
    <row r="321" spans="6:17" ht="15.75" customHeight="1">
      <c r="F321" s="90"/>
      <c r="G321" s="91"/>
      <c r="H321" s="91"/>
      <c r="I321" s="91"/>
      <c r="J321" s="5"/>
      <c r="K321" s="92"/>
      <c r="L321" s="93"/>
      <c r="M321" s="94"/>
      <c r="N321" s="93"/>
      <c r="O321" s="94"/>
      <c r="P321" s="93"/>
      <c r="Q321" s="95"/>
    </row>
    <row r="322" spans="6:17" ht="15.75" customHeight="1">
      <c r="F322" s="90"/>
      <c r="G322" s="91"/>
      <c r="H322" s="91"/>
      <c r="I322" s="91"/>
      <c r="J322" s="5"/>
      <c r="K322" s="92"/>
      <c r="L322" s="93"/>
      <c r="M322" s="94"/>
      <c r="N322" s="93"/>
      <c r="O322" s="94"/>
      <c r="P322" s="93"/>
      <c r="Q322" s="95"/>
    </row>
    <row r="323" spans="6:17" ht="15.75" customHeight="1">
      <c r="F323" s="90"/>
      <c r="G323" s="91"/>
      <c r="H323" s="91"/>
      <c r="I323" s="91"/>
      <c r="J323" s="5"/>
      <c r="K323" s="92"/>
      <c r="L323" s="93"/>
      <c r="M323" s="94"/>
      <c r="N323" s="93"/>
      <c r="O323" s="94"/>
      <c r="P323" s="93"/>
      <c r="Q323" s="95"/>
    </row>
    <row r="324" spans="6:17" ht="15.75" customHeight="1">
      <c r="F324" s="90"/>
      <c r="G324" s="91"/>
      <c r="H324" s="91"/>
      <c r="I324" s="91"/>
      <c r="J324" s="5"/>
      <c r="K324" s="92"/>
      <c r="L324" s="93"/>
      <c r="M324" s="94"/>
      <c r="N324" s="93"/>
      <c r="O324" s="94"/>
      <c r="P324" s="93"/>
      <c r="Q324" s="95"/>
    </row>
    <row r="325" spans="6:17" ht="15.75" customHeight="1">
      <c r="F325" s="90"/>
      <c r="G325" s="91"/>
      <c r="H325" s="91"/>
      <c r="I325" s="91"/>
      <c r="J325" s="5"/>
      <c r="K325" s="92"/>
      <c r="L325" s="93"/>
      <c r="M325" s="94"/>
      <c r="N325" s="93"/>
      <c r="O325" s="94"/>
      <c r="P325" s="93"/>
      <c r="Q325" s="95"/>
    </row>
    <row r="326" spans="6:17" s="77" customFormat="1" ht="15.75" customHeight="1" thickBot="1">
      <c r="F326" s="139"/>
      <c r="G326" s="140"/>
      <c r="H326" s="140"/>
      <c r="I326" s="140"/>
      <c r="J326" s="141"/>
      <c r="K326" s="142"/>
      <c r="L326" s="143"/>
      <c r="M326" s="144"/>
      <c r="N326" s="143"/>
      <c r="O326" s="144"/>
      <c r="P326" s="143"/>
      <c r="Q326" s="99"/>
    </row>
    <row r="327" spans="6:17" s="50" customFormat="1" ht="15.75" customHeight="1" thickTop="1">
      <c r="F327" s="90"/>
      <c r="G327" s="91"/>
      <c r="H327" s="91"/>
      <c r="I327" s="91"/>
      <c r="J327" s="306"/>
      <c r="K327" s="92"/>
      <c r="L327" s="93"/>
      <c r="M327" s="94"/>
      <c r="N327" s="93"/>
      <c r="O327" s="94"/>
      <c r="P327" s="93"/>
      <c r="Q327" s="95"/>
    </row>
    <row r="328" ht="15">
      <c r="J328" s="25"/>
    </row>
    <row r="329" ht="16.5" customHeight="1">
      <c r="J329" s="25"/>
    </row>
    <row r="330" ht="15">
      <c r="J330" s="25"/>
    </row>
    <row r="331" ht="15">
      <c r="J331" s="25"/>
    </row>
    <row r="332" ht="15">
      <c r="J332" s="25"/>
    </row>
  </sheetData>
  <mergeCells count="4">
    <mergeCell ref="I250:J250"/>
    <mergeCell ref="I85:J85"/>
    <mergeCell ref="I168:J168"/>
    <mergeCell ref="I3:J3"/>
  </mergeCells>
  <printOptions horizontalCentered="1"/>
  <pageMargins left="0" right="0" top="0.4" bottom="0.25" header="0" footer="0"/>
  <pageSetup fitToHeight="4" horizontalDpi="300" verticalDpi="300" orientation="portrait" scale="53" r:id="rId2"/>
  <rowBreaks count="4" manualBreakCount="4">
    <brk id="82" max="16" man="1"/>
    <brk id="165" max="16" man="1"/>
    <brk id="247" max="16" man="1"/>
    <brk id="327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T70"/>
  <sheetViews>
    <sheetView showGridLines="0" view="pageBreakPreview" zoomScale="75" zoomScaleNormal="75" zoomScaleSheetLayoutView="75" workbookViewId="0" topLeftCell="A1">
      <selection activeCell="C1" sqref="C1"/>
    </sheetView>
  </sheetViews>
  <sheetFormatPr defaultColWidth="9.77734375" defaultRowHeight="15"/>
  <cols>
    <col min="1" max="3" width="2.77734375" style="0" customWidth="1"/>
    <col min="4" max="4" width="8.77734375" style="0" customWidth="1"/>
    <col min="5" max="5" width="15.77734375" style="0" customWidth="1"/>
    <col min="6" max="6" width="3.77734375" style="0" customWidth="1"/>
    <col min="7" max="7" width="11.77734375" style="0" customWidth="1"/>
    <col min="8" max="8" width="10.77734375" style="0" customWidth="1"/>
    <col min="9" max="9" width="2.77734375" style="0" customWidth="1"/>
    <col min="10" max="10" width="12.77734375" style="0" customWidth="1"/>
    <col min="11" max="11" width="13.77734375" style="0" customWidth="1"/>
    <col min="12" max="12" width="6.77734375" style="0" customWidth="1"/>
    <col min="13" max="13" width="14.77734375" style="0" customWidth="1"/>
    <col min="14" max="14" width="6.77734375" style="0" customWidth="1"/>
    <col min="15" max="15" width="13.77734375" style="0" customWidth="1"/>
    <col min="16" max="16" width="6.77734375" style="0" customWidth="1"/>
    <col min="18" max="18" width="6.10546875" style="0" customWidth="1"/>
    <col min="19" max="19" width="12.21484375" style="0" bestFit="1" customWidth="1"/>
  </cols>
  <sheetData>
    <row r="1" spans="1:16" s="367" customFormat="1" ht="27.75" customHeight="1" thickBot="1">
      <c r="A1" s="368">
        <v>6</v>
      </c>
      <c r="B1" s="369" t="str">
        <f>(Marketable!B83)</f>
        <v>TABLE III - DETAIL OF TREASURY SECURITIES OUTSTANDING, JUNE 30, 2005 -- Continued</v>
      </c>
      <c r="C1" s="369"/>
      <c r="D1" s="369"/>
      <c r="E1" s="370"/>
      <c r="F1" s="370"/>
      <c r="G1" s="370"/>
      <c r="H1" s="370"/>
      <c r="I1" s="372"/>
      <c r="J1" s="370"/>
      <c r="K1" s="370"/>
      <c r="L1" s="370"/>
      <c r="M1" s="370"/>
      <c r="N1" s="370"/>
      <c r="O1" s="370"/>
      <c r="P1" s="369"/>
    </row>
    <row r="2" spans="7:16" ht="30.75" customHeight="1" thickTop="1">
      <c r="G2" s="12" t="s">
        <v>845</v>
      </c>
      <c r="H2" s="441" t="s">
        <v>105</v>
      </c>
      <c r="I2" s="442"/>
      <c r="J2" s="26" t="s">
        <v>846</v>
      </c>
      <c r="K2" s="12" t="s">
        <v>101</v>
      </c>
      <c r="L2" s="2"/>
      <c r="M2" s="2"/>
      <c r="N2" s="2"/>
      <c r="O2" s="2"/>
      <c r="P2" s="2"/>
    </row>
    <row r="3" spans="1:11" ht="15.75" customHeight="1">
      <c r="A3" s="2" t="s">
        <v>102</v>
      </c>
      <c r="B3" s="2"/>
      <c r="C3" s="2"/>
      <c r="D3" s="2"/>
      <c r="E3" s="2"/>
      <c r="F3" s="2"/>
      <c r="G3" s="26" t="s">
        <v>103</v>
      </c>
      <c r="H3" s="441"/>
      <c r="I3" s="442"/>
      <c r="J3" s="26" t="s">
        <v>105</v>
      </c>
      <c r="K3" s="10"/>
    </row>
    <row r="4" spans="1:16" ht="16.5" customHeight="1">
      <c r="A4" s="11"/>
      <c r="B4" s="11"/>
      <c r="C4" s="11"/>
      <c r="D4" s="11"/>
      <c r="E4" s="11"/>
      <c r="F4" s="11"/>
      <c r="G4" s="27"/>
      <c r="H4" s="27"/>
      <c r="I4" s="28"/>
      <c r="J4" s="27"/>
      <c r="K4" s="29" t="s">
        <v>106</v>
      </c>
      <c r="L4" s="134"/>
      <c r="M4" s="29" t="s">
        <v>83</v>
      </c>
      <c r="N4" s="30"/>
      <c r="O4" s="29" t="s">
        <v>65</v>
      </c>
      <c r="P4" s="30"/>
    </row>
    <row r="5" spans="1:20" ht="33.75" customHeight="1">
      <c r="A5" s="19" t="s">
        <v>68</v>
      </c>
      <c r="B5" s="18"/>
      <c r="C5" s="18"/>
      <c r="D5" s="18"/>
      <c r="E5" s="4"/>
      <c r="F5" s="4"/>
      <c r="G5" s="10"/>
      <c r="H5" s="10"/>
      <c r="J5" s="10"/>
      <c r="K5" s="10"/>
      <c r="L5" s="21"/>
      <c r="M5" s="10"/>
      <c r="O5" s="10"/>
      <c r="T5" s="13"/>
    </row>
    <row r="6" spans="2:15" ht="21" customHeight="1">
      <c r="B6" s="6" t="s">
        <v>162</v>
      </c>
      <c r="G6" s="10"/>
      <c r="H6" s="10"/>
      <c r="J6" s="10"/>
      <c r="K6" s="10"/>
      <c r="L6" s="21"/>
      <c r="M6" s="10"/>
      <c r="O6" s="10"/>
    </row>
    <row r="7" spans="3:16" ht="16.5" customHeight="1">
      <c r="C7" s="6" t="s">
        <v>39</v>
      </c>
      <c r="G7" s="73">
        <v>32808</v>
      </c>
      <c r="H7" s="74">
        <v>43753</v>
      </c>
      <c r="I7" s="2"/>
      <c r="J7" s="73">
        <v>43753</v>
      </c>
      <c r="K7" s="32">
        <v>4522.068</v>
      </c>
      <c r="L7" s="21"/>
      <c r="M7" s="32">
        <v>0</v>
      </c>
      <c r="N7" s="135"/>
      <c r="O7" s="32">
        <f aca="true" t="shared" si="0" ref="O7:O14">K7+M7</f>
        <v>4522.068</v>
      </c>
      <c r="P7" s="17"/>
    </row>
    <row r="8" spans="3:16" ht="16.5" customHeight="1">
      <c r="C8" s="6" t="s">
        <v>39</v>
      </c>
      <c r="G8" s="73">
        <v>33070</v>
      </c>
      <c r="H8" s="74">
        <v>44027</v>
      </c>
      <c r="I8" s="2"/>
      <c r="J8" s="73">
        <v>44027</v>
      </c>
      <c r="K8" s="32">
        <v>5026.13</v>
      </c>
      <c r="L8" s="16"/>
      <c r="M8" s="32">
        <v>0</v>
      </c>
      <c r="N8" s="22"/>
      <c r="O8" s="32">
        <f t="shared" si="0"/>
        <v>5026.13</v>
      </c>
      <c r="P8" s="17"/>
    </row>
    <row r="9" spans="3:16" ht="16.5" customHeight="1">
      <c r="C9" s="6" t="s">
        <v>40</v>
      </c>
      <c r="G9" s="73">
        <v>33151</v>
      </c>
      <c r="H9" s="74">
        <v>44119</v>
      </c>
      <c r="I9" s="2"/>
      <c r="J9" s="73">
        <v>44119</v>
      </c>
      <c r="K9" s="32">
        <v>2.75</v>
      </c>
      <c r="L9" s="16"/>
      <c r="M9" s="32">
        <v>0</v>
      </c>
      <c r="N9" s="22"/>
      <c r="O9" s="32">
        <f t="shared" si="0"/>
        <v>2.75</v>
      </c>
      <c r="P9" s="17"/>
    </row>
    <row r="10" spans="3:16" ht="16.5" customHeight="1">
      <c r="C10" s="6" t="s">
        <v>41</v>
      </c>
      <c r="G10" s="73">
        <v>33151</v>
      </c>
      <c r="H10" s="74">
        <v>44119</v>
      </c>
      <c r="I10" s="2"/>
      <c r="J10" s="73">
        <v>44119</v>
      </c>
      <c r="K10" s="32">
        <v>5000</v>
      </c>
      <c r="L10" s="16"/>
      <c r="M10" s="32">
        <v>0</v>
      </c>
      <c r="N10" s="22"/>
      <c r="O10" s="32">
        <f>K10+M10</f>
        <v>5000</v>
      </c>
      <c r="P10" s="17"/>
    </row>
    <row r="11" spans="3:16" ht="16.5" customHeight="1">
      <c r="C11" s="6" t="s">
        <v>39</v>
      </c>
      <c r="G11" s="73">
        <v>33252</v>
      </c>
      <c r="H11" s="74">
        <v>44211</v>
      </c>
      <c r="I11" s="2"/>
      <c r="J11" s="73">
        <v>44211</v>
      </c>
      <c r="K11" s="32">
        <v>4940.921</v>
      </c>
      <c r="L11" s="16"/>
      <c r="M11" s="32">
        <v>0</v>
      </c>
      <c r="N11" s="22"/>
      <c r="O11" s="32">
        <f t="shared" si="0"/>
        <v>4940.921</v>
      </c>
      <c r="P11" s="17"/>
    </row>
    <row r="12" spans="3:16" ht="16.5" customHeight="1">
      <c r="C12" s="6" t="s">
        <v>39</v>
      </c>
      <c r="G12" s="73">
        <v>32902</v>
      </c>
      <c r="H12" s="74">
        <v>47498</v>
      </c>
      <c r="I12" s="2"/>
      <c r="J12" s="73">
        <v>47498</v>
      </c>
      <c r="K12" s="32">
        <v>5002.232</v>
      </c>
      <c r="L12" s="16"/>
      <c r="M12" s="32">
        <v>0</v>
      </c>
      <c r="N12" s="22"/>
      <c r="O12" s="32">
        <f t="shared" si="0"/>
        <v>5002.232</v>
      </c>
      <c r="P12" s="17"/>
    </row>
    <row r="13" spans="3:16" ht="16.5" customHeight="1">
      <c r="C13" s="6" t="s">
        <v>39</v>
      </c>
      <c r="G13" s="73">
        <v>32979</v>
      </c>
      <c r="H13" s="74">
        <v>47588</v>
      </c>
      <c r="I13" s="2"/>
      <c r="J13" s="73">
        <v>47588</v>
      </c>
      <c r="K13" s="32">
        <v>3501.265</v>
      </c>
      <c r="L13" s="16"/>
      <c r="M13" s="32">
        <v>0</v>
      </c>
      <c r="N13" s="22"/>
      <c r="O13" s="32">
        <f t="shared" si="0"/>
        <v>3501.265</v>
      </c>
      <c r="P13" s="17"/>
    </row>
    <row r="14" spans="3:16" ht="16.5" customHeight="1">
      <c r="C14" s="6" t="s">
        <v>39</v>
      </c>
      <c r="G14" s="73">
        <v>33252</v>
      </c>
      <c r="H14" s="74">
        <v>47588</v>
      </c>
      <c r="I14" s="2"/>
      <c r="J14" s="73">
        <v>47588</v>
      </c>
      <c r="K14" s="32">
        <v>1999.814</v>
      </c>
      <c r="L14" s="16"/>
      <c r="M14" s="32">
        <v>0</v>
      </c>
      <c r="N14" s="22"/>
      <c r="O14" s="32">
        <f t="shared" si="0"/>
        <v>1999.814</v>
      </c>
      <c r="P14" s="17"/>
    </row>
    <row r="15" spans="2:16" ht="21" customHeight="1" thickBot="1">
      <c r="B15" s="189" t="s">
        <v>968</v>
      </c>
      <c r="G15" s="26" t="s">
        <v>758</v>
      </c>
      <c r="H15" s="12" t="s">
        <v>758</v>
      </c>
      <c r="I15" s="2"/>
      <c r="J15" s="26" t="s">
        <v>758</v>
      </c>
      <c r="K15" s="184">
        <f>SUM(K7:K14)</f>
        <v>29995.179999999997</v>
      </c>
      <c r="L15" s="192"/>
      <c r="M15" s="184">
        <f>SUM(M6:M14)</f>
        <v>0</v>
      </c>
      <c r="N15" s="187"/>
      <c r="O15" s="184">
        <f>SUM(O7:O14)</f>
        <v>29995.179999999997</v>
      </c>
      <c r="P15" s="193"/>
    </row>
    <row r="16" spans="2:15" ht="36.75" customHeight="1" thickTop="1">
      <c r="B16" s="6" t="s">
        <v>969</v>
      </c>
      <c r="E16" s="15"/>
      <c r="F16" s="123"/>
      <c r="G16" s="10"/>
      <c r="H16" s="10"/>
      <c r="J16" s="10"/>
      <c r="K16" s="10"/>
      <c r="L16" s="21"/>
      <c r="M16" s="133"/>
      <c r="O16" s="10"/>
    </row>
    <row r="17" spans="3:16" ht="16.5" customHeight="1">
      <c r="C17" s="6" t="s">
        <v>42</v>
      </c>
      <c r="F17" s="123">
        <v>10</v>
      </c>
      <c r="G17" s="73">
        <v>33225</v>
      </c>
      <c r="H17" s="74">
        <v>43921</v>
      </c>
      <c r="I17" s="2"/>
      <c r="J17" s="73">
        <v>43921</v>
      </c>
      <c r="K17" s="32">
        <v>7258.01</v>
      </c>
      <c r="L17" s="17"/>
      <c r="M17" s="41">
        <v>-4536.703</v>
      </c>
      <c r="N17" s="17"/>
      <c r="O17" s="32">
        <f>K17+M17</f>
        <v>2721.307</v>
      </c>
      <c r="P17" s="17"/>
    </row>
    <row r="18" spans="3:16" ht="16.5" customHeight="1">
      <c r="C18" s="6" t="s">
        <v>568</v>
      </c>
      <c r="F18" s="123">
        <v>10</v>
      </c>
      <c r="G18" s="73">
        <v>34066</v>
      </c>
      <c r="H18" s="74">
        <v>45016</v>
      </c>
      <c r="I18" s="2"/>
      <c r="J18" s="73">
        <v>45016</v>
      </c>
      <c r="K18" s="32">
        <v>6685</v>
      </c>
      <c r="L18" s="17"/>
      <c r="M18" s="41">
        <v>-6420.658</v>
      </c>
      <c r="N18" s="152"/>
      <c r="O18" s="32">
        <f>K18+M18</f>
        <v>264.34199999999964</v>
      </c>
      <c r="P18" s="17"/>
    </row>
    <row r="19" spans="2:16" ht="20.25" customHeight="1" thickBot="1">
      <c r="B19" s="189" t="s">
        <v>971</v>
      </c>
      <c r="G19" s="26" t="s">
        <v>758</v>
      </c>
      <c r="H19" s="12" t="s">
        <v>758</v>
      </c>
      <c r="I19" s="2"/>
      <c r="J19" s="26" t="s">
        <v>758</v>
      </c>
      <c r="K19" s="184">
        <f>SUM(K17:K18)</f>
        <v>13943.01</v>
      </c>
      <c r="L19" s="185"/>
      <c r="M19" s="191">
        <f>SUM(M17:M18)</f>
        <v>-10957.361</v>
      </c>
      <c r="N19" s="185"/>
      <c r="O19" s="184">
        <f>SUM(O17:O18)</f>
        <v>2985.6489999999994</v>
      </c>
      <c r="P19" s="185"/>
    </row>
    <row r="20" spans="2:15" ht="37.5" customHeight="1" thickTop="1">
      <c r="B20" s="6" t="s">
        <v>972</v>
      </c>
      <c r="G20" s="10"/>
      <c r="H20" s="10"/>
      <c r="J20" s="10"/>
      <c r="K20" s="10"/>
      <c r="M20" s="10"/>
      <c r="O20" s="10"/>
    </row>
    <row r="21" spans="3:15" ht="16.5" customHeight="1">
      <c r="C21" s="6" t="s">
        <v>973</v>
      </c>
      <c r="G21" s="10"/>
      <c r="H21" s="10"/>
      <c r="J21" s="10"/>
      <c r="K21" s="32"/>
      <c r="M21" s="32" t="s">
        <v>62</v>
      </c>
      <c r="O21" s="32"/>
    </row>
    <row r="22" spans="3:15" ht="16.5" customHeight="1">
      <c r="C22" s="6" t="s">
        <v>974</v>
      </c>
      <c r="G22" s="26" t="s">
        <v>161</v>
      </c>
      <c r="H22" s="12" t="s">
        <v>758</v>
      </c>
      <c r="I22" s="2"/>
      <c r="J22" s="26" t="s">
        <v>975</v>
      </c>
      <c r="K22" s="32">
        <v>53.903988</v>
      </c>
      <c r="M22" s="41">
        <v>-52.850988</v>
      </c>
      <c r="N22" s="35"/>
      <c r="O22" s="43">
        <f>(K22+M22)</f>
        <v>1.0529999999999973</v>
      </c>
    </row>
    <row r="23" spans="2:16" ht="20.25" customHeight="1" thickBot="1">
      <c r="B23" s="189" t="s">
        <v>976</v>
      </c>
      <c r="G23" s="26" t="s">
        <v>758</v>
      </c>
      <c r="H23" s="12" t="s">
        <v>758</v>
      </c>
      <c r="I23" s="2"/>
      <c r="J23" s="26" t="s">
        <v>758</v>
      </c>
      <c r="K23" s="184">
        <f>K22</f>
        <v>53.903988</v>
      </c>
      <c r="L23" s="190"/>
      <c r="M23" s="184">
        <f>M22</f>
        <v>-52.850988</v>
      </c>
      <c r="N23" s="190"/>
      <c r="O23" s="194">
        <f>(K23+M23)</f>
        <v>1.0529999999999973</v>
      </c>
      <c r="P23" s="190"/>
    </row>
    <row r="24" spans="2:15" ht="36.75" customHeight="1" thickTop="1">
      <c r="B24" s="6" t="s">
        <v>481</v>
      </c>
      <c r="G24" s="10"/>
      <c r="H24" s="10"/>
      <c r="J24" s="10"/>
      <c r="K24" s="10"/>
      <c r="M24" s="10"/>
      <c r="O24" s="10"/>
    </row>
    <row r="25" spans="3:15" ht="16.5" customHeight="1">
      <c r="C25" s="6" t="s">
        <v>417</v>
      </c>
      <c r="G25" s="10"/>
      <c r="H25" s="10"/>
      <c r="J25" s="10"/>
      <c r="K25" s="32"/>
      <c r="M25" s="32"/>
      <c r="O25" s="32"/>
    </row>
    <row r="26" spans="3:15" ht="16.5" customHeight="1">
      <c r="C26" s="6" t="s">
        <v>418</v>
      </c>
      <c r="G26" s="26" t="s">
        <v>161</v>
      </c>
      <c r="H26" s="12" t="s">
        <v>758</v>
      </c>
      <c r="I26" s="2"/>
      <c r="J26" s="26" t="s">
        <v>419</v>
      </c>
      <c r="K26" s="32">
        <v>265062.273507</v>
      </c>
      <c r="M26" s="41">
        <v>-252497.517755</v>
      </c>
      <c r="N26" s="35"/>
      <c r="O26" s="75">
        <f>(K26+M26)</f>
        <v>12564.755751999997</v>
      </c>
    </row>
    <row r="27" spans="3:15" ht="16.5" customHeight="1">
      <c r="C27" s="6" t="s">
        <v>420</v>
      </c>
      <c r="G27" s="10"/>
      <c r="H27" s="10"/>
      <c r="J27" s="10"/>
      <c r="K27" s="32"/>
      <c r="M27" s="41" t="s">
        <v>62</v>
      </c>
      <c r="N27" s="35"/>
      <c r="O27" s="32"/>
    </row>
    <row r="28" spans="3:15" ht="16.5" customHeight="1">
      <c r="C28" s="6" t="s">
        <v>766</v>
      </c>
      <c r="G28" s="26" t="s">
        <v>161</v>
      </c>
      <c r="H28" s="12" t="s">
        <v>758</v>
      </c>
      <c r="I28" s="2"/>
      <c r="J28" s="26" t="s">
        <v>161</v>
      </c>
      <c r="K28" s="32">
        <v>507299.544353</v>
      </c>
      <c r="M28" s="41">
        <v>-332025.710005</v>
      </c>
      <c r="N28" s="35"/>
      <c r="O28" s="75">
        <f>(K28+M28)</f>
        <v>175273.834348</v>
      </c>
    </row>
    <row r="29" spans="3:15" ht="16.5" customHeight="1">
      <c r="C29" s="6" t="s">
        <v>768</v>
      </c>
      <c r="G29" s="10"/>
      <c r="H29" s="10"/>
      <c r="J29" s="10"/>
      <c r="K29" s="32"/>
      <c r="M29" s="41" t="s">
        <v>62</v>
      </c>
      <c r="N29" s="35"/>
      <c r="O29" s="32"/>
    </row>
    <row r="30" spans="3:15" ht="16.5" customHeight="1">
      <c r="C30" s="6" t="s">
        <v>766</v>
      </c>
      <c r="G30" s="26" t="s">
        <v>161</v>
      </c>
      <c r="H30" s="12" t="s">
        <v>758</v>
      </c>
      <c r="I30" s="2"/>
      <c r="J30" s="26" t="s">
        <v>161</v>
      </c>
      <c r="K30" s="32">
        <v>56844.527943</v>
      </c>
      <c r="M30" s="41">
        <v>-38001.409833</v>
      </c>
      <c r="N30" s="35"/>
      <c r="O30" s="75">
        <f>(K30+M30)</f>
        <v>18843.118110000003</v>
      </c>
    </row>
    <row r="31" spans="3:16" ht="16.5" customHeight="1">
      <c r="C31" s="6" t="s">
        <v>36</v>
      </c>
      <c r="F31" s="123">
        <v>10</v>
      </c>
      <c r="G31" s="26" t="s">
        <v>161</v>
      </c>
      <c r="H31" s="12" t="s">
        <v>758</v>
      </c>
      <c r="I31" s="2"/>
      <c r="J31" s="26" t="s">
        <v>37</v>
      </c>
      <c r="K31" s="32">
        <v>5155.34271027</v>
      </c>
      <c r="L31" s="50"/>
      <c r="M31" s="41">
        <v>-5093.42503245</v>
      </c>
      <c r="N31" s="295"/>
      <c r="O31" s="75">
        <f>(K31+M31)</f>
        <v>61.91767781999988</v>
      </c>
      <c r="P31" s="50"/>
    </row>
    <row r="32" spans="3:16" ht="16.5" customHeight="1">
      <c r="C32" s="6" t="s">
        <v>767</v>
      </c>
      <c r="G32" s="26" t="s">
        <v>161</v>
      </c>
      <c r="H32" s="12" t="s">
        <v>758</v>
      </c>
      <c r="I32" s="2"/>
      <c r="J32" s="26" t="s">
        <v>758</v>
      </c>
      <c r="K32" s="58">
        <v>300.2574</v>
      </c>
      <c r="L32" s="59"/>
      <c r="M32" s="145">
        <v>-300.1212</v>
      </c>
      <c r="N32" s="146"/>
      <c r="O32" s="305" t="s">
        <v>242</v>
      </c>
      <c r="P32" s="59"/>
    </row>
    <row r="33" spans="2:16" ht="21" customHeight="1">
      <c r="B33" s="189" t="s">
        <v>769</v>
      </c>
      <c r="C33" s="6"/>
      <c r="F33" s="53"/>
      <c r="G33" s="26"/>
      <c r="H33" s="12"/>
      <c r="I33" s="2"/>
      <c r="J33" s="26"/>
      <c r="K33" s="32"/>
      <c r="L33" s="50"/>
      <c r="M33" s="32"/>
      <c r="N33" s="50"/>
      <c r="O33" s="75"/>
      <c r="P33" s="50"/>
    </row>
    <row r="34" spans="2:16" ht="20.25" customHeight="1" thickBot="1">
      <c r="B34" s="189" t="s">
        <v>770</v>
      </c>
      <c r="G34" s="26" t="s">
        <v>758</v>
      </c>
      <c r="H34" s="12" t="s">
        <v>758</v>
      </c>
      <c r="I34" s="2"/>
      <c r="J34" s="26" t="s">
        <v>758</v>
      </c>
      <c r="K34" s="194">
        <f>SUM(K25:K32)</f>
        <v>834661.94591327</v>
      </c>
      <c r="L34" s="195"/>
      <c r="M34" s="194">
        <f>SUM(M25:M32)</f>
        <v>-627918.1838254501</v>
      </c>
      <c r="N34" s="196"/>
      <c r="O34" s="194">
        <f>SUM(O25:O32)</f>
        <v>206743.62588782</v>
      </c>
      <c r="P34" s="195"/>
    </row>
    <row r="35" spans="2:15" ht="36.75" customHeight="1" thickTop="1">
      <c r="B35" s="6" t="s">
        <v>508</v>
      </c>
      <c r="G35" s="10"/>
      <c r="H35" s="10"/>
      <c r="J35" s="10"/>
      <c r="K35" s="10"/>
      <c r="L35" s="17"/>
      <c r="M35" s="10"/>
      <c r="O35" s="10"/>
    </row>
    <row r="36" spans="3:15" ht="18" customHeight="1">
      <c r="C36" s="6" t="s">
        <v>509</v>
      </c>
      <c r="F36" s="123" t="s">
        <v>373</v>
      </c>
      <c r="G36" s="10"/>
      <c r="H36" s="10"/>
      <c r="J36" s="10"/>
      <c r="K36" s="10"/>
      <c r="M36" s="133"/>
      <c r="O36" s="10"/>
    </row>
    <row r="37" spans="4:15" ht="16.5" customHeight="1">
      <c r="D37" s="6" t="s">
        <v>93</v>
      </c>
      <c r="F37" s="123"/>
      <c r="G37" s="26" t="s">
        <v>161</v>
      </c>
      <c r="H37" s="12" t="s">
        <v>94</v>
      </c>
      <c r="I37" s="2"/>
      <c r="J37" s="26" t="s">
        <v>95</v>
      </c>
      <c r="K37" s="32">
        <f>79823.03181428-1673.11929612</f>
        <v>78149.91251816</v>
      </c>
      <c r="M37" s="41">
        <v>-59818.02965852</v>
      </c>
      <c r="N37" s="35"/>
      <c r="O37" s="75">
        <f>+K37+M37</f>
        <v>18331.882859639998</v>
      </c>
    </row>
    <row r="38" spans="4:15" ht="16.5" customHeight="1">
      <c r="D38" s="6" t="s">
        <v>96</v>
      </c>
      <c r="F38" s="123">
        <v>12</v>
      </c>
      <c r="G38" s="26" t="s">
        <v>161</v>
      </c>
      <c r="H38" s="12" t="s">
        <v>94</v>
      </c>
      <c r="I38" s="2"/>
      <c r="J38" s="26" t="s">
        <v>95</v>
      </c>
      <c r="K38" s="32">
        <v>257209.04103388</v>
      </c>
      <c r="M38" s="41">
        <v>-127212.67981129</v>
      </c>
      <c r="N38" s="35"/>
      <c r="O38" s="75">
        <f>+K38+M38</f>
        <v>129996.36122259</v>
      </c>
    </row>
    <row r="39" spans="4:15" ht="16.5" customHeight="1">
      <c r="D39" s="108" t="s">
        <v>97</v>
      </c>
      <c r="F39" s="123"/>
      <c r="G39" s="10"/>
      <c r="H39" s="10"/>
      <c r="J39" s="10"/>
      <c r="K39" s="10"/>
      <c r="M39" s="133"/>
      <c r="N39" s="35"/>
      <c r="O39" s="10"/>
    </row>
    <row r="40" spans="4:15" ht="16.5" customHeight="1">
      <c r="D40" s="6" t="s">
        <v>888</v>
      </c>
      <c r="F40" s="123"/>
      <c r="G40" s="26" t="s">
        <v>161</v>
      </c>
      <c r="H40" s="12" t="s">
        <v>94</v>
      </c>
      <c r="I40" s="2"/>
      <c r="J40" s="26" t="s">
        <v>95</v>
      </c>
      <c r="K40" s="32">
        <v>126.97449897</v>
      </c>
      <c r="M40" s="41">
        <v>-419.19794361</v>
      </c>
      <c r="N40" s="35"/>
      <c r="O40" s="75">
        <f>+K40+M40</f>
        <v>-292.22344463999997</v>
      </c>
    </row>
    <row r="41" spans="4:15" ht="16.5" customHeight="1">
      <c r="D41" s="6" t="s">
        <v>889</v>
      </c>
      <c r="F41" s="126"/>
      <c r="G41" s="26" t="s">
        <v>161</v>
      </c>
      <c r="H41" s="12" t="s">
        <v>94</v>
      </c>
      <c r="I41" s="2"/>
      <c r="J41" s="26" t="s">
        <v>975</v>
      </c>
      <c r="K41" s="32">
        <f>3031.7855-10.5175</f>
        <v>3021.268</v>
      </c>
      <c r="M41" s="41">
        <v>-2716.6985</v>
      </c>
      <c r="N41" s="35"/>
      <c r="O41" s="75">
        <f>+K41+M41</f>
        <v>304.56950000000006</v>
      </c>
    </row>
    <row r="42" spans="4:15" ht="16.5" customHeight="1">
      <c r="D42" s="6" t="s">
        <v>257</v>
      </c>
      <c r="F42" s="126"/>
      <c r="G42" s="26" t="s">
        <v>161</v>
      </c>
      <c r="H42" s="12" t="s">
        <v>94</v>
      </c>
      <c r="I42" s="2"/>
      <c r="J42" s="26" t="s">
        <v>975</v>
      </c>
      <c r="K42" s="32">
        <f>21305.171-36.597</f>
        <v>21268.573999999997</v>
      </c>
      <c r="M42" s="41">
        <v>-7033.1385</v>
      </c>
      <c r="N42" s="35"/>
      <c r="O42" s="75">
        <f>(K42+M42)</f>
        <v>14235.435499999996</v>
      </c>
    </row>
    <row r="43" spans="4:15" ht="16.5" customHeight="1">
      <c r="D43" s="6" t="s">
        <v>537</v>
      </c>
      <c r="F43" s="123">
        <v>12</v>
      </c>
      <c r="G43" s="26" t="s">
        <v>161</v>
      </c>
      <c r="H43" s="12" t="s">
        <v>94</v>
      </c>
      <c r="I43" s="2"/>
      <c r="J43" s="26" t="s">
        <v>95</v>
      </c>
      <c r="K43" s="32">
        <v>31000.44149735</v>
      </c>
      <c r="M43" s="41">
        <v>-2707.55943865</v>
      </c>
      <c r="N43" s="35"/>
      <c r="O43" s="75">
        <f>(K43+M43)</f>
        <v>28292.882058699997</v>
      </c>
    </row>
    <row r="44" spans="3:16" ht="18" customHeight="1">
      <c r="C44" s="6" t="s">
        <v>209</v>
      </c>
      <c r="F44" s="126"/>
      <c r="G44" s="26" t="s">
        <v>758</v>
      </c>
      <c r="H44" s="12" t="s">
        <v>758</v>
      </c>
      <c r="I44" s="2"/>
      <c r="J44" s="26" t="s">
        <v>758</v>
      </c>
      <c r="K44" s="46">
        <f>SUM(K37:K43)</f>
        <v>390776.21154836</v>
      </c>
      <c r="L44" s="47"/>
      <c r="M44" s="46">
        <f>SUM(M37:M43)+0.00397</f>
        <v>-199907.29988207002</v>
      </c>
      <c r="N44" s="47"/>
      <c r="O44" s="46">
        <f>+K44+M44+0.0021322</f>
        <v>190868.91379849</v>
      </c>
      <c r="P44" s="47"/>
    </row>
    <row r="45" spans="3:15" ht="16.5" customHeight="1">
      <c r="C45" s="6" t="s">
        <v>210</v>
      </c>
      <c r="F45" s="126"/>
      <c r="G45" s="10"/>
      <c r="H45" s="10"/>
      <c r="J45" s="10"/>
      <c r="K45" s="10"/>
      <c r="M45" s="32"/>
      <c r="O45" s="10"/>
    </row>
    <row r="46" spans="3:15" ht="16.5" customHeight="1">
      <c r="C46" s="6" t="s">
        <v>211</v>
      </c>
      <c r="F46" s="125" t="s">
        <v>374</v>
      </c>
      <c r="G46" s="26" t="s">
        <v>161</v>
      </c>
      <c r="H46" s="12" t="s">
        <v>94</v>
      </c>
      <c r="I46" s="2"/>
      <c r="J46" s="26" t="s">
        <v>95</v>
      </c>
      <c r="K46" s="32">
        <v>83.53675651</v>
      </c>
      <c r="M46" s="32">
        <v>-71.10870398</v>
      </c>
      <c r="O46" s="75">
        <f>(K46+M46)</f>
        <v>12.428052530000002</v>
      </c>
    </row>
    <row r="47" spans="3:16" ht="16.5" customHeight="1">
      <c r="C47" s="6" t="s">
        <v>212</v>
      </c>
      <c r="F47" s="126"/>
      <c r="G47" s="10"/>
      <c r="H47" s="10"/>
      <c r="J47" s="10"/>
      <c r="K47" s="10"/>
      <c r="M47" s="32"/>
      <c r="O47" s="10"/>
      <c r="P47" s="17"/>
    </row>
    <row r="48" spans="3:16" ht="16.5" customHeight="1">
      <c r="C48" s="6" t="s">
        <v>213</v>
      </c>
      <c r="F48" s="123">
        <v>14</v>
      </c>
      <c r="G48" s="26" t="s">
        <v>161</v>
      </c>
      <c r="H48" s="12" t="s">
        <v>94</v>
      </c>
      <c r="I48" s="2"/>
      <c r="J48" s="26" t="s">
        <v>95</v>
      </c>
      <c r="K48" s="32">
        <v>383.82679526</v>
      </c>
      <c r="L48" s="17"/>
      <c r="M48" s="32">
        <v>-336.39665925</v>
      </c>
      <c r="N48" s="17"/>
      <c r="O48" s="75">
        <f>(K48+M48)</f>
        <v>47.430136009999956</v>
      </c>
      <c r="P48" s="17"/>
    </row>
    <row r="49" spans="2:16" ht="20.25" customHeight="1">
      <c r="B49" s="6" t="s">
        <v>977</v>
      </c>
      <c r="G49" s="26"/>
      <c r="H49" s="12" t="s">
        <v>758</v>
      </c>
      <c r="I49" s="2"/>
      <c r="J49" s="26" t="s">
        <v>758</v>
      </c>
      <c r="K49" s="46">
        <f>K44+K46+K48</f>
        <v>391243.57510013</v>
      </c>
      <c r="L49" s="47"/>
      <c r="M49" s="46">
        <f>M44+M46+M48</f>
        <v>-200314.8052453</v>
      </c>
      <c r="N49" s="47"/>
      <c r="O49" s="46">
        <f>O44+O46+O48</f>
        <v>190928.77198703</v>
      </c>
      <c r="P49" s="47"/>
    </row>
    <row r="50" spans="2:16" ht="15.75" customHeight="1">
      <c r="B50" s="6" t="s">
        <v>877</v>
      </c>
      <c r="G50" s="26"/>
      <c r="H50" s="12" t="s">
        <v>758</v>
      </c>
      <c r="I50" s="2"/>
      <c r="J50" s="26" t="s">
        <v>758</v>
      </c>
      <c r="K50" s="32">
        <v>13288.614731</v>
      </c>
      <c r="L50" s="17"/>
      <c r="M50" s="32">
        <v>0</v>
      </c>
      <c r="N50" s="22"/>
      <c r="O50" s="75">
        <f>+K50</f>
        <v>13288.614731</v>
      </c>
      <c r="P50" s="50"/>
    </row>
    <row r="51" spans="2:16" ht="15.75" customHeight="1" thickBot="1">
      <c r="B51" s="189" t="s">
        <v>91</v>
      </c>
      <c r="G51" s="26"/>
      <c r="H51" s="12" t="s">
        <v>758</v>
      </c>
      <c r="I51" s="2"/>
      <c r="J51" s="26" t="s">
        <v>758</v>
      </c>
      <c r="K51" s="184">
        <f>+K49+K50-1</f>
        <v>404531.18983113</v>
      </c>
      <c r="L51" s="190"/>
      <c r="M51" s="184">
        <f>+M49+M50</f>
        <v>-200314.8052453</v>
      </c>
      <c r="N51" s="190"/>
      <c r="O51" s="184">
        <f>+O49+O50</f>
        <v>204217.38671803</v>
      </c>
      <c r="P51" s="44"/>
    </row>
    <row r="52" spans="2:16" ht="15.75" customHeight="1" thickTop="1">
      <c r="B52" s="189"/>
      <c r="G52" s="107"/>
      <c r="H52" s="76"/>
      <c r="I52" s="2"/>
      <c r="J52" s="107"/>
      <c r="K52" s="226"/>
      <c r="L52" s="269"/>
      <c r="M52" s="226"/>
      <c r="N52" s="269"/>
      <c r="O52" s="226"/>
      <c r="P52" s="50"/>
    </row>
    <row r="53" spans="2:16" ht="15.75" customHeight="1">
      <c r="B53" s="189"/>
      <c r="G53" s="107"/>
      <c r="H53" s="76"/>
      <c r="I53" s="2"/>
      <c r="J53" s="107"/>
      <c r="K53" s="226"/>
      <c r="L53" s="269"/>
      <c r="M53" s="226"/>
      <c r="N53" s="269"/>
      <c r="O53" s="226"/>
      <c r="P53" s="50"/>
    </row>
    <row r="54" spans="2:16" ht="15.75" customHeight="1">
      <c r="B54" s="189"/>
      <c r="G54" s="107"/>
      <c r="H54" s="76"/>
      <c r="I54" s="2"/>
      <c r="J54" s="107"/>
      <c r="K54" s="226"/>
      <c r="L54" s="269"/>
      <c r="M54" s="226"/>
      <c r="N54" s="269"/>
      <c r="O54" s="226"/>
      <c r="P54" s="50"/>
    </row>
    <row r="55" spans="2:16" ht="15" customHeight="1">
      <c r="B55" s="189"/>
      <c r="G55" s="107"/>
      <c r="H55" s="76"/>
      <c r="I55" s="2"/>
      <c r="J55" s="107"/>
      <c r="K55" s="226"/>
      <c r="L55" s="269"/>
      <c r="M55" s="226"/>
      <c r="N55" s="269"/>
      <c r="O55" s="226"/>
      <c r="P55" s="50"/>
    </row>
    <row r="56" spans="2:16" ht="15" customHeight="1">
      <c r="B56" s="189"/>
      <c r="G56" s="107"/>
      <c r="H56" s="76"/>
      <c r="I56" s="2"/>
      <c r="J56" s="107"/>
      <c r="K56" s="226"/>
      <c r="L56" s="269"/>
      <c r="M56" s="226"/>
      <c r="N56" s="269"/>
      <c r="O56" s="226"/>
      <c r="P56" s="50"/>
    </row>
    <row r="57" spans="2:16" ht="15.75" customHeight="1">
      <c r="B57" s="189"/>
      <c r="G57" s="107"/>
      <c r="H57" s="76"/>
      <c r="I57" s="2"/>
      <c r="J57" s="107"/>
      <c r="K57" s="226"/>
      <c r="L57" s="269"/>
      <c r="M57" s="226"/>
      <c r="N57" s="269"/>
      <c r="O57" s="226"/>
      <c r="P57" s="50"/>
    </row>
    <row r="58" spans="2:16" ht="15.75" customHeight="1">
      <c r="B58" s="189"/>
      <c r="G58" s="107"/>
      <c r="H58" s="76"/>
      <c r="I58" s="2"/>
      <c r="J58" s="107"/>
      <c r="K58" s="226"/>
      <c r="L58" s="269"/>
      <c r="M58" s="226"/>
      <c r="N58" s="269"/>
      <c r="O58" s="226"/>
      <c r="P58" s="50"/>
    </row>
    <row r="59" spans="2:16" ht="15.75" customHeight="1">
      <c r="B59" s="189"/>
      <c r="G59" s="107"/>
      <c r="H59" s="76"/>
      <c r="I59" s="2"/>
      <c r="J59" s="107"/>
      <c r="K59" s="226"/>
      <c r="L59" s="269"/>
      <c r="M59" s="226"/>
      <c r="N59" s="269"/>
      <c r="O59" s="226"/>
      <c r="P59" s="50"/>
    </row>
    <row r="60" spans="2:16" ht="15.75" customHeight="1">
      <c r="B60" s="189"/>
      <c r="G60" s="107"/>
      <c r="H60" s="76"/>
      <c r="I60" s="2"/>
      <c r="J60" s="107"/>
      <c r="K60" s="226"/>
      <c r="L60" s="269"/>
      <c r="M60" s="226"/>
      <c r="N60" s="269"/>
      <c r="O60" s="226"/>
      <c r="P60" s="50"/>
    </row>
    <row r="61" spans="2:16" ht="15.75" customHeight="1">
      <c r="B61" s="189"/>
      <c r="G61" s="107"/>
      <c r="H61" s="76"/>
      <c r="I61" s="2"/>
      <c r="J61" s="107"/>
      <c r="K61" s="226"/>
      <c r="L61" s="269"/>
      <c r="M61" s="226"/>
      <c r="N61" s="269"/>
      <c r="O61" s="226"/>
      <c r="P61" s="50"/>
    </row>
    <row r="62" spans="2:16" ht="15.75" customHeight="1">
      <c r="B62" s="189"/>
      <c r="G62" s="107"/>
      <c r="H62" s="76"/>
      <c r="I62" s="2"/>
      <c r="J62" s="107"/>
      <c r="K62" s="226"/>
      <c r="L62" s="269"/>
      <c r="M62" s="226"/>
      <c r="N62" s="269"/>
      <c r="O62" s="226"/>
      <c r="P62" s="50"/>
    </row>
    <row r="63" spans="2:16" ht="15.75" customHeight="1">
      <c r="B63" s="189"/>
      <c r="G63" s="107"/>
      <c r="H63" s="76"/>
      <c r="I63" s="2"/>
      <c r="J63" s="107"/>
      <c r="K63" s="226"/>
      <c r="L63" s="269"/>
      <c r="M63" s="226"/>
      <c r="N63" s="269"/>
      <c r="O63" s="226"/>
      <c r="P63" s="50"/>
    </row>
    <row r="64" spans="2:16" ht="15.75" customHeight="1">
      <c r="B64" s="189"/>
      <c r="G64" s="107"/>
      <c r="H64" s="76"/>
      <c r="I64" s="2"/>
      <c r="J64" s="107"/>
      <c r="K64" s="226"/>
      <c r="L64" s="269"/>
      <c r="M64" s="226"/>
      <c r="N64" s="269"/>
      <c r="O64" s="226"/>
      <c r="P64" s="50"/>
    </row>
    <row r="65" spans="2:16" ht="15.75" customHeight="1">
      <c r="B65" s="189"/>
      <c r="G65" s="107"/>
      <c r="H65" s="76"/>
      <c r="I65" s="2"/>
      <c r="J65" s="107"/>
      <c r="K65" s="226"/>
      <c r="L65" s="269"/>
      <c r="M65" s="226"/>
      <c r="N65" s="269"/>
      <c r="O65" s="226"/>
      <c r="P65" s="50"/>
    </row>
    <row r="66" spans="2:16" ht="15.75" customHeight="1">
      <c r="B66" s="189"/>
      <c r="G66" s="107"/>
      <c r="H66" s="76"/>
      <c r="I66" s="2"/>
      <c r="J66" s="107"/>
      <c r="K66" s="226"/>
      <c r="L66" s="269"/>
      <c r="M66" s="226"/>
      <c r="N66" s="269"/>
      <c r="O66" s="226"/>
      <c r="P66" s="50"/>
    </row>
    <row r="67" spans="2:16" ht="15.75" customHeight="1">
      <c r="B67" s="189"/>
      <c r="G67" s="107"/>
      <c r="H67" s="76"/>
      <c r="I67" s="2"/>
      <c r="J67" s="107"/>
      <c r="K67" s="226"/>
      <c r="L67" s="269"/>
      <c r="M67" s="226"/>
      <c r="N67" s="269"/>
      <c r="O67" s="226"/>
      <c r="P67" s="50"/>
    </row>
    <row r="68" spans="2:16" ht="15.75" customHeight="1">
      <c r="B68" s="189"/>
      <c r="G68" s="107"/>
      <c r="H68" s="76"/>
      <c r="I68" s="2"/>
      <c r="J68" s="107"/>
      <c r="K68" s="226"/>
      <c r="L68" s="269"/>
      <c r="M68" s="226"/>
      <c r="N68" s="269"/>
      <c r="O68" s="226"/>
      <c r="P68" s="50"/>
    </row>
    <row r="69" spans="2:16" ht="15.75" customHeight="1">
      <c r="B69" s="189"/>
      <c r="G69" s="107"/>
      <c r="H69" s="76"/>
      <c r="I69" s="2"/>
      <c r="J69" s="107"/>
      <c r="K69" s="226"/>
      <c r="L69" s="269"/>
      <c r="M69" s="226"/>
      <c r="N69" s="269"/>
      <c r="O69" s="226"/>
      <c r="P69" s="50"/>
    </row>
    <row r="70" spans="2:16" ht="15.75" customHeight="1">
      <c r="B70" s="189"/>
      <c r="G70" s="107"/>
      <c r="H70" s="76"/>
      <c r="I70" s="2"/>
      <c r="J70" s="107"/>
      <c r="K70" s="226"/>
      <c r="L70" s="269"/>
      <c r="M70" s="226"/>
      <c r="N70" s="269"/>
      <c r="O70" s="226"/>
      <c r="P70" s="50"/>
    </row>
    <row r="71" s="77" customFormat="1" ht="15.75" customHeight="1" thickBot="1"/>
    <row r="72" ht="15.75" thickTop="1"/>
  </sheetData>
  <mergeCells count="2">
    <mergeCell ref="H3:I3"/>
    <mergeCell ref="H2:I2"/>
  </mergeCells>
  <printOptions horizontalCentered="1"/>
  <pageMargins left="0" right="0" top="0.5" bottom="0.1" header="0" footer="0"/>
  <pageSetup horizontalDpi="300" verticalDpi="300" orientation="portrait" scale="55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O252"/>
  <sheetViews>
    <sheetView showGridLines="0" view="pageBreakPreview" zoomScale="75" zoomScaleNormal="60" zoomScaleSheetLayoutView="75" workbookViewId="0" topLeftCell="A1">
      <selection activeCell="A1" sqref="A1"/>
    </sheetView>
  </sheetViews>
  <sheetFormatPr defaultColWidth="9.77734375" defaultRowHeight="15"/>
  <cols>
    <col min="1" max="2" width="2.77734375" style="0" customWidth="1"/>
    <col min="3" max="3" width="2.99609375" style="0" customWidth="1"/>
    <col min="4" max="4" width="26.77734375" style="0" customWidth="1"/>
    <col min="5" max="5" width="11.77734375" style="0" customWidth="1"/>
    <col min="7" max="7" width="16.99609375" style="0" customWidth="1"/>
    <col min="8" max="8" width="13.77734375" style="0" customWidth="1"/>
    <col min="9" max="9" width="6.77734375" style="0" customWidth="1"/>
    <col min="10" max="10" width="16.77734375" style="0" customWidth="1"/>
    <col min="11" max="11" width="6.77734375" style="0" customWidth="1"/>
    <col min="12" max="12" width="17.88671875" style="0" customWidth="1"/>
    <col min="13" max="13" width="6.77734375" style="0" customWidth="1"/>
    <col min="14" max="14" width="9.3359375" style="0" bestFit="1" customWidth="1"/>
    <col min="16" max="16" width="12.5546875" style="0" bestFit="1" customWidth="1"/>
  </cols>
  <sheetData>
    <row r="1" spans="1:13" s="367" customFormat="1" ht="27.75" customHeight="1" thickBot="1">
      <c r="A1" s="371"/>
      <c r="B1" s="369" t="str">
        <f>(Marketable!B83)</f>
        <v>TABLE III - DETAIL OF TREASURY SECURITIES OUTSTANDING, JUNE 30, 2005 -- Continued</v>
      </c>
      <c r="C1" s="370"/>
      <c r="D1" s="369"/>
      <c r="E1" s="370"/>
      <c r="F1" s="370"/>
      <c r="G1" s="370"/>
      <c r="H1" s="370"/>
      <c r="I1" s="370"/>
      <c r="J1" s="370"/>
      <c r="K1" s="370"/>
      <c r="L1" s="370"/>
      <c r="M1" s="373">
        <v>7</v>
      </c>
    </row>
    <row r="2" spans="8:13" ht="30.75" customHeight="1" thickTop="1">
      <c r="H2" s="12" t="s">
        <v>101</v>
      </c>
      <c r="I2" s="2"/>
      <c r="J2" s="2"/>
      <c r="K2" s="2"/>
      <c r="L2" s="2"/>
      <c r="M2" s="2"/>
    </row>
    <row r="3" spans="1:13" ht="15.75" customHeight="1">
      <c r="A3" s="2" t="s">
        <v>102</v>
      </c>
      <c r="B3" s="2"/>
      <c r="C3" s="2"/>
      <c r="D3" s="2"/>
      <c r="E3" s="2"/>
      <c r="F3" s="2"/>
      <c r="G3" s="2"/>
      <c r="H3" s="12" t="s">
        <v>62</v>
      </c>
      <c r="I3" s="2"/>
      <c r="J3" s="2"/>
      <c r="K3" s="2"/>
      <c r="L3" s="2"/>
      <c r="M3" s="2"/>
    </row>
    <row r="4" spans="1:13" ht="16.5" customHeight="1">
      <c r="A4" s="11"/>
      <c r="B4" s="11"/>
      <c r="C4" s="11"/>
      <c r="D4" s="11"/>
      <c r="E4" s="11"/>
      <c r="F4" s="11"/>
      <c r="G4" s="11"/>
      <c r="H4" s="29" t="s">
        <v>106</v>
      </c>
      <c r="I4" s="30"/>
      <c r="J4" s="29" t="s">
        <v>83</v>
      </c>
      <c r="K4" s="30"/>
      <c r="L4" s="29" t="s">
        <v>65</v>
      </c>
      <c r="M4" s="30"/>
    </row>
    <row r="5" spans="1:12" ht="33.75" customHeight="1">
      <c r="A5" s="35"/>
      <c r="B5" s="4" t="s">
        <v>214</v>
      </c>
      <c r="H5" s="10"/>
      <c r="J5" s="10"/>
      <c r="L5" s="10"/>
    </row>
    <row r="6" spans="2:15" ht="21" customHeight="1">
      <c r="B6" s="131" t="s">
        <v>468</v>
      </c>
      <c r="C6" s="64"/>
      <c r="D6" s="64"/>
      <c r="H6" s="32"/>
      <c r="I6" s="17"/>
      <c r="J6" s="32"/>
      <c r="K6" s="17"/>
      <c r="L6" s="32"/>
      <c r="M6" s="17"/>
      <c r="O6" s="235"/>
    </row>
    <row r="7" spans="1:15" ht="15.75" customHeight="1">
      <c r="A7" t="s">
        <v>62</v>
      </c>
      <c r="C7" s="6" t="s">
        <v>258</v>
      </c>
      <c r="H7" s="304">
        <f>IF(VLOOKUP(GAS!N7,'GAS ASCII'!$B$2:$C$210,2)&gt;=500000,VLOOKUP(GAS!N7,'GAS ASCII'!$B$2:$C$210,2)/1000000,IF(VLOOKUP(GAS!N7,'GAS ASCII'!$B$2:$C$210,2)&lt;=0,"……………….","*"))</f>
        <v>382.19763478</v>
      </c>
      <c r="I7" s="17" t="s">
        <v>62</v>
      </c>
      <c r="J7" s="304">
        <f>IF(VLOOKUP(GAS!N7,'GAS ASCII'!$B$2:$D$210,3)&gt;=500000,VLOOKUP(GAS!N7,'GAS ASCII'!$B$2:$D$210,3)/-1000000,IF(VLOOKUP(GAS!N7,'GAS ASCII'!$B$2:$D$210,3)&lt;=0,0,"*"))</f>
        <v>-1.386</v>
      </c>
      <c r="K7" s="17"/>
      <c r="L7" s="304">
        <f>IF(VLOOKUP(GAS!N7,'GAS ASCII'!$B$2:$E$210,4)&gt;=500000,VLOOKUP(GAS!N7,'GAS ASCII'!$B$2:$E$210,4)/1000000,IF(VLOOKUP(GAS!N7,'GAS ASCII'!$B$2:$E$210,4)&lt;=0,"……………….","*"))</f>
        <v>380.81163477999996</v>
      </c>
      <c r="M7" s="17"/>
      <c r="N7" t="s">
        <v>223</v>
      </c>
      <c r="O7" s="235"/>
    </row>
    <row r="8" spans="3:15" ht="30.75" customHeight="1">
      <c r="C8" s="6" t="s">
        <v>979</v>
      </c>
      <c r="H8" s="304"/>
      <c r="I8" s="17"/>
      <c r="J8" s="304"/>
      <c r="K8" s="17"/>
      <c r="L8" s="304"/>
      <c r="M8" s="17"/>
      <c r="O8" s="235"/>
    </row>
    <row r="9" spans="3:15" ht="15.75" customHeight="1">
      <c r="C9" s="6" t="s">
        <v>128</v>
      </c>
      <c r="H9" s="304" t="str">
        <f>IF(VLOOKUP(GAS!N9,'GAS ASCII'!$B$2:$C$210,2)&gt;=500000,VLOOKUP(GAS!N9,'GAS ASCII'!$B$2:$C$210,2)/1000000,IF(VLOOKUP(GAS!N9,'GAS ASCII'!$B$2:$C$210,2)&lt;=0,"……………….","*"))</f>
        <v>*</v>
      </c>
      <c r="I9" s="17"/>
      <c r="J9" s="304">
        <f>IF(VLOOKUP(GAS!N9,'GAS ASCII'!$B$2:$D$210,3)&gt;=500000,VLOOKUP(GAS!N9,'GAS ASCII'!$B$2:$D$210,3)/-1000000,IF(VLOOKUP(GAS!N9,'GAS ASCII'!$B$2:$D$210,3)&lt;=0,0,"*"))</f>
        <v>0</v>
      </c>
      <c r="K9" s="22"/>
      <c r="L9" s="304" t="str">
        <f>IF(VLOOKUP(GAS!N9,'GAS ASCII'!$B$2:$E$210,4)&gt;=500000,VLOOKUP(GAS!N9,'GAS ASCII'!$B$2:$E$210,4)/1000000,IF(VLOOKUP(GAS!N9,'GAS ASCII'!$B$2:$E$210,4)&lt;=0,"……………….","*"))</f>
        <v>*</v>
      </c>
      <c r="M9" s="17"/>
      <c r="N9" t="s">
        <v>225</v>
      </c>
      <c r="O9" s="235"/>
    </row>
    <row r="10" spans="3:15" ht="15.75" customHeight="1">
      <c r="C10" s="6" t="s">
        <v>125</v>
      </c>
      <c r="H10" s="304"/>
      <c r="I10" s="17"/>
      <c r="J10" s="304"/>
      <c r="K10" s="17"/>
      <c r="L10" s="304"/>
      <c r="M10" s="17"/>
      <c r="O10" s="235"/>
    </row>
    <row r="11" spans="3:15" ht="15.75" customHeight="1">
      <c r="C11" s="6" t="s">
        <v>126</v>
      </c>
      <c r="H11" s="304">
        <f>IF(VLOOKUP(GAS!N11,'GAS ASCII'!$B$2:$C$210,2)&gt;=500000,VLOOKUP(GAS!N11,'GAS ASCII'!$B$2:$C$210,2)/1000000,IF(VLOOKUP(GAS!N11,'GAS ASCII'!$B$2:$C$210,2)&lt;=0,"……………….","*"))</f>
        <v>8.681</v>
      </c>
      <c r="I11" s="17"/>
      <c r="J11" s="304">
        <f>IF(VLOOKUP(GAS!N11,'GAS ASCII'!$B$2:$D$210,3)&gt;=500000,VLOOKUP(GAS!N11,'GAS ASCII'!$B$2:$D$210,3)/-1000000,IF(VLOOKUP(GAS!N11,'GAS ASCII'!$B$2:$D$210,3)&lt;=0,0,"*"))</f>
        <v>0</v>
      </c>
      <c r="K11" s="22"/>
      <c r="L11" s="304">
        <f>IF(VLOOKUP(GAS!N11,'GAS ASCII'!$B$2:$E$210,4)&gt;=500000,VLOOKUP(GAS!N11,'GAS ASCII'!$B$2:$E$210,4)/1000000,IF(VLOOKUP(GAS!N11,'GAS ASCII'!$B$2:$E$210,4)&lt;=0,"……………….","*"))</f>
        <v>8.681</v>
      </c>
      <c r="M11" s="17"/>
      <c r="N11" t="s">
        <v>396</v>
      </c>
      <c r="O11" s="235"/>
    </row>
    <row r="12" spans="1:15" ht="15.75" customHeight="1">
      <c r="A12" t="s">
        <v>62</v>
      </c>
      <c r="C12" s="6" t="s">
        <v>1085</v>
      </c>
      <c r="H12" s="304">
        <f>IF(VLOOKUP(GAS!N12,'GAS ASCII'!$B$2:$C$210,2)&gt;=500000,VLOOKUP(GAS!N12,'GAS ASCII'!$B$2:$C$210,2)/1000000,IF(VLOOKUP(GAS!N12,'GAS ASCII'!$B$2:$C$210,2)&lt;=0,"……………….","*"))</f>
        <v>1752.61185422</v>
      </c>
      <c r="I12" s="17" t="s">
        <v>62</v>
      </c>
      <c r="J12" s="304">
        <f>IF(VLOOKUP(GAS!N12,'GAS ASCII'!$B$2:$D$210,3)&gt;=500000,VLOOKUP(GAS!N12,'GAS ASCII'!$B$2:$D$210,3)/-1000000,IF(VLOOKUP(GAS!N12,'GAS ASCII'!$B$2:$D$210,3)&lt;=0,0,"*"))</f>
        <v>0</v>
      </c>
      <c r="K12" s="17"/>
      <c r="L12" s="304">
        <f>IF(VLOOKUP(GAS!N12,'GAS ASCII'!$B$2:$E$210,4)&gt;=500000,VLOOKUP(GAS!N12,'GAS ASCII'!$B$2:$E$210,4)/1000000,IF(VLOOKUP(GAS!N12,'GAS ASCII'!$B$2:$E$210,4)&lt;=0,"……………….","*"))</f>
        <v>1752.61185422</v>
      </c>
      <c r="M12" s="17"/>
      <c r="N12" t="s">
        <v>1078</v>
      </c>
      <c r="O12" s="235"/>
    </row>
    <row r="13" spans="3:15" ht="30.75" customHeight="1">
      <c r="C13" s="6" t="s">
        <v>878</v>
      </c>
      <c r="H13" s="304">
        <f>IF(VLOOKUP(GAS!N13,'GAS ASCII'!$B$2:$C$210,2)&gt;=500000,VLOOKUP(GAS!N13,'GAS ASCII'!$B$2:$C$210,2)/1000000,IF(VLOOKUP(GAS!N13,'GAS ASCII'!$B$2:$C$210,2)&lt;=0,"……………….","*"))</f>
        <v>1.496</v>
      </c>
      <c r="I13" s="17"/>
      <c r="J13" s="304">
        <f>IF(VLOOKUP(GAS!N13,'GAS ASCII'!$B$2:$D$210,3)&gt;=500000,VLOOKUP(GAS!N13,'GAS ASCII'!$B$2:$D$210,3)/-1000000,IF(VLOOKUP(GAS!N13,'GAS ASCII'!$B$2:$D$210,3)&lt;=0,0,"*"))</f>
        <v>0</v>
      </c>
      <c r="K13" s="17"/>
      <c r="L13" s="304">
        <f>IF(VLOOKUP(GAS!N13,'GAS ASCII'!$B$2:$E$210,4)&gt;=500000,VLOOKUP(GAS!N13,'GAS ASCII'!$B$2:$E$210,4)/1000000,IF(VLOOKUP(GAS!N13,'GAS ASCII'!$B$2:$E$210,4)&lt;=0,"……………….","*"))</f>
        <v>1.496</v>
      </c>
      <c r="M13" s="17"/>
      <c r="N13" t="s">
        <v>227</v>
      </c>
      <c r="O13" s="235"/>
    </row>
    <row r="14" spans="3:15" ht="30.75" customHeight="1">
      <c r="C14" s="6" t="s">
        <v>0</v>
      </c>
      <c r="H14" s="304">
        <f>IF(VLOOKUP(GAS!N14,'GAS ASCII'!$B$2:$C$210,2)&gt;=500000,VLOOKUP(GAS!N14,'GAS ASCII'!$B$2:$C$210,2)/1000000,IF(VLOOKUP(GAS!N14,'GAS ASCII'!$B$2:$C$210,2)&lt;=0,"……………….","*"))</f>
        <v>5.175</v>
      </c>
      <c r="I14" s="17"/>
      <c r="J14" s="304">
        <f>IF(VLOOKUP(GAS!N14,'GAS ASCII'!$B$2:$D$210,3)&gt;=500000,VLOOKUP(GAS!N14,'GAS ASCII'!$B$2:$D$210,3)/-1000000,IF(VLOOKUP(GAS!N14,'GAS ASCII'!$B$2:$D$210,3)&lt;=0,0,"*"))</f>
        <v>-4.448</v>
      </c>
      <c r="K14" s="17"/>
      <c r="L14" s="304">
        <f>IF(VLOOKUP(GAS!N14,'GAS ASCII'!$B$2:$E$210,4)&gt;=500000,VLOOKUP(GAS!N14,'GAS ASCII'!$B$2:$E$210,4)/1000000,IF(VLOOKUP(GAS!N14,'GAS ASCII'!$B$2:$E$210,4)&lt;=0,"……………….","*"))</f>
        <v>0.727</v>
      </c>
      <c r="M14" s="17"/>
      <c r="N14" t="s">
        <v>442</v>
      </c>
      <c r="O14" s="235"/>
    </row>
    <row r="15" spans="3:15" ht="30.75" customHeight="1">
      <c r="C15" s="6" t="s">
        <v>262</v>
      </c>
      <c r="H15" s="304" t="str">
        <f>IF(VLOOKUP(GAS!N15,'GAS ASCII'!$B$2:$C$210,2)&gt;=500000,VLOOKUP(GAS!N15,'GAS ASCII'!$B$2:$C$210,2)/1000000,IF(VLOOKUP(GAS!N15,'GAS ASCII'!$B$2:$C$210,2)&lt;=0,"……………….","*"))</f>
        <v>*</v>
      </c>
      <c r="I15" s="17"/>
      <c r="J15" s="304">
        <f>IF(VLOOKUP(GAS!N15,'GAS ASCII'!$B$2:$D$210,3)&gt;=500000,VLOOKUP(GAS!N15,'GAS ASCII'!$B$2:$D$210,3)/-1000000,IF(VLOOKUP(GAS!N15,'GAS ASCII'!$B$2:$D$210,3)&lt;=0,0,"*"))</f>
        <v>0</v>
      </c>
      <c r="K15" s="17"/>
      <c r="L15" s="304" t="str">
        <f>IF(VLOOKUP(GAS!N15,'GAS ASCII'!$B$2:$E$210,4)&gt;=500000,VLOOKUP(GAS!N15,'GAS ASCII'!$B$2:$E$210,4)/1000000,IF(VLOOKUP(GAS!N15,'GAS ASCII'!$B$2:$E$210,4)&lt;=0,"……………….","*"))</f>
        <v>*</v>
      </c>
      <c r="M15" s="17"/>
      <c r="N15" t="s">
        <v>444</v>
      </c>
      <c r="O15" s="235"/>
    </row>
    <row r="16" spans="3:15" ht="30.75" customHeight="1">
      <c r="C16" s="6" t="s">
        <v>78</v>
      </c>
      <c r="H16" s="304">
        <f>IF(VLOOKUP(GAS!N16,'GAS ASCII'!$B$2:$C$210,2)&gt;=500000,VLOOKUP(GAS!N16,'GAS ASCII'!$B$2:$C$210,2)/1000000,IF(VLOOKUP(GAS!N16,'GAS ASCII'!$B$2:$C$210,2)&lt;=0,"……………….","*"))</f>
        <v>27.56157282</v>
      </c>
      <c r="I16" s="17"/>
      <c r="J16" s="304">
        <f>IF(VLOOKUP(GAS!N16,'GAS ASCII'!$B$2:$D$210,3)&gt;=500000,VLOOKUP(GAS!N16,'GAS ASCII'!$B$2:$D$210,3)/-1000000,IF(VLOOKUP(GAS!N16,'GAS ASCII'!$B$2:$D$210,3)&lt;=0,0,"*"))</f>
        <v>0</v>
      </c>
      <c r="K16" s="17"/>
      <c r="L16" s="304">
        <f>IF(VLOOKUP(GAS!N16,'GAS ASCII'!$B$2:$E$210,4)&gt;=500000,VLOOKUP(GAS!N16,'GAS ASCII'!$B$2:$E$210,4)/1000000,IF(VLOOKUP(GAS!N16,'GAS ASCII'!$B$2:$E$210,4)&lt;=0,"……………….","*"))</f>
        <v>27.56157282</v>
      </c>
      <c r="M16" s="17"/>
      <c r="N16" t="s">
        <v>1096</v>
      </c>
      <c r="O16" s="235"/>
    </row>
    <row r="17" spans="3:15" ht="30.75" customHeight="1">
      <c r="C17" s="6" t="s">
        <v>386</v>
      </c>
      <c r="H17" s="304">
        <f>IF(VLOOKUP(GAS!N17,'GAS ASCII'!$B$2:$C$210,2)&gt;=500000,VLOOKUP(GAS!N17,'GAS ASCII'!$B$2:$C$210,2)/1000000,IF(VLOOKUP(GAS!N17,'GAS ASCII'!$B$2:$C$210,2)&lt;=0,"……………….","*"))</f>
        <v>36.519</v>
      </c>
      <c r="I17" s="17"/>
      <c r="J17" s="304">
        <f>IF(VLOOKUP(GAS!N17,'GAS ASCII'!$B$2:$D$210,3)&gt;=500000,VLOOKUP(GAS!N17,'GAS ASCII'!$B$2:$D$210,3)/-1000000,IF(VLOOKUP(GAS!N17,'GAS ASCII'!$B$2:$D$210,3)&lt;=0,0,"*"))</f>
        <v>0</v>
      </c>
      <c r="K17" s="17"/>
      <c r="L17" s="304">
        <f>IF(VLOOKUP(GAS!N17,'GAS ASCII'!$B$2:$E$210,4)&gt;=500000,VLOOKUP(GAS!N17,'GAS ASCII'!$B$2:$E$210,4)/1000000,IF(VLOOKUP(GAS!N17,'GAS ASCII'!$B$2:$E$210,4)&lt;=0,"……………….","*"))</f>
        <v>36.519</v>
      </c>
      <c r="M17" s="17"/>
      <c r="N17" t="s">
        <v>1098</v>
      </c>
      <c r="O17" s="235"/>
    </row>
    <row r="18" spans="3:15" ht="30.75" customHeight="1">
      <c r="C18" s="6" t="s">
        <v>980</v>
      </c>
      <c r="H18" s="304">
        <f>IF(VLOOKUP(GAS!N18,'GAS ASCII'!$B$2:$C$210,2)&gt;=500000,VLOOKUP(GAS!N18,'GAS ASCII'!$B$2:$C$210,2)/1000000,IF(VLOOKUP(GAS!N18,'GAS ASCII'!$B$2:$C$210,2)&lt;=0,"……………….","*"))</f>
        <v>28.657</v>
      </c>
      <c r="I18" s="17"/>
      <c r="J18" s="304" t="str">
        <f>IF(VLOOKUP(GAS!N18,'GAS ASCII'!$B$2:$D$210,3)&gt;=500000,VLOOKUP(GAS!N18,'GAS ASCII'!$B$2:$D$210,3)/-1000000,IF(VLOOKUP(GAS!N18,'GAS ASCII'!$B$2:$D$210,3)&lt;=0,0,"*"))</f>
        <v>*</v>
      </c>
      <c r="K18" s="17"/>
      <c r="L18" s="304">
        <f>IF(VLOOKUP(GAS!N18,'GAS ASCII'!$B$2:$E$210,4)&gt;=500000,VLOOKUP(GAS!N18,'GAS ASCII'!$B$2:$E$210,4)/1000000,IF(VLOOKUP(GAS!N18,'GAS ASCII'!$B$2:$E$210,4)&lt;=0,"……………….","*"))</f>
        <v>28.19</v>
      </c>
      <c r="M18" s="17"/>
      <c r="N18" t="s">
        <v>994</v>
      </c>
      <c r="O18" s="235"/>
    </row>
    <row r="19" spans="3:15" ht="30.75" customHeight="1">
      <c r="C19" s="6" t="s">
        <v>60</v>
      </c>
      <c r="H19" s="304"/>
      <c r="I19" s="17"/>
      <c r="J19" s="304"/>
      <c r="K19" s="17"/>
      <c r="L19" s="304"/>
      <c r="M19" s="17"/>
      <c r="O19" s="235"/>
    </row>
    <row r="20" spans="3:15" ht="18" customHeight="1">
      <c r="C20" s="6" t="s">
        <v>1023</v>
      </c>
      <c r="H20" s="304">
        <f>IF(VLOOKUP(GAS!N20,'GAS ASCII'!$B$2:$C$210,2)&gt;=500000,VLOOKUP(GAS!N20,'GAS ASCII'!$B$2:$C$210,2)/1000000,IF(VLOOKUP(GAS!N20,'GAS ASCII'!$B$2:$C$210,2)&lt;=0,"……………….","*"))</f>
        <v>264.731</v>
      </c>
      <c r="I20" s="17"/>
      <c r="J20" s="304">
        <f>IF(VLOOKUP(GAS!N20,'GAS ASCII'!$B$2:$D$210,3)&gt;=500000,VLOOKUP(GAS!N20,'GAS ASCII'!$B$2:$D$210,3)/-1000000,IF(VLOOKUP(GAS!N20,'GAS ASCII'!$B$2:$D$210,3)&lt;=0,0,"*"))</f>
        <v>0</v>
      </c>
      <c r="K20" s="22"/>
      <c r="L20" s="304">
        <f>IF(VLOOKUP(GAS!N20,'GAS ASCII'!$B$2:$E$210,4)&gt;=500000,VLOOKUP(GAS!N20,'GAS ASCII'!$B$2:$E$210,4)/1000000,IF(VLOOKUP(GAS!N20,'GAS ASCII'!$B$2:$E$210,4)&lt;=0,"……………….","*"))</f>
        <v>264.731</v>
      </c>
      <c r="M20" s="17"/>
      <c r="N20" t="s">
        <v>46</v>
      </c>
      <c r="O20" s="235"/>
    </row>
    <row r="21" spans="3:15" ht="30.75" customHeight="1">
      <c r="C21" s="6" t="s">
        <v>1010</v>
      </c>
      <c r="H21" s="304">
        <f>IF(VLOOKUP(GAS!N21,'GAS ASCII'!$B$2:$C$210,2)&gt;=500000,VLOOKUP(GAS!N21,'GAS ASCII'!$B$2:$C$210,2)/1000000,IF(VLOOKUP(GAS!N21,'GAS ASCII'!$B$2:$C$210,2)&lt;=0,"……………….","*"))</f>
        <v>744.953</v>
      </c>
      <c r="I21" s="17"/>
      <c r="J21" s="304">
        <f>IF(VLOOKUP(GAS!N21,'GAS ASCII'!$B$2:$D$210,3)&gt;=500000,VLOOKUP(GAS!N21,'GAS ASCII'!$B$2:$D$210,3)/-1000000,IF(VLOOKUP(GAS!N21,'GAS ASCII'!$B$2:$D$210,3)&lt;=0,0,"*"))</f>
        <v>0</v>
      </c>
      <c r="K21" s="17"/>
      <c r="L21" s="304">
        <f>IF(VLOOKUP(GAS!N21,'GAS ASCII'!$B$2:$E$210,4)&gt;=500000,VLOOKUP(GAS!N21,'GAS ASCII'!$B$2:$E$210,4)/1000000,IF(VLOOKUP(GAS!N21,'GAS ASCII'!$B$2:$E$210,4)&lt;=0,"……………….","*"))</f>
        <v>744.953</v>
      </c>
      <c r="M21" s="17"/>
      <c r="N21" t="s">
        <v>9</v>
      </c>
      <c r="O21" s="235"/>
    </row>
    <row r="22" spans="3:15" ht="15.75" customHeight="1">
      <c r="C22" s="6" t="s">
        <v>1024</v>
      </c>
      <c r="H22" s="304">
        <f>IF(VLOOKUP(GAS!N22,'GAS ASCII'!$B$2:$C$210,2)&gt;=500000,VLOOKUP(GAS!N22,'GAS ASCII'!$B$2:$C$210,2)/1000000,IF(VLOOKUP(GAS!N22,'GAS ASCII'!$B$2:$C$210,2)&lt;=0,"……………….","*"))</f>
        <v>1</v>
      </c>
      <c r="I22" s="17"/>
      <c r="J22" s="304">
        <f>IF(VLOOKUP(GAS!N22,'GAS ASCII'!$B$2:$D$210,3)&gt;=500000,VLOOKUP(GAS!N22,'GAS ASCII'!$B$2:$D$210,3)/-1000000,IF(VLOOKUP(GAS!N22,'GAS ASCII'!$B$2:$D$210,3)&lt;=0,0,"*"))</f>
        <v>0</v>
      </c>
      <c r="K22" s="22"/>
      <c r="L22" s="304">
        <f>IF(VLOOKUP(GAS!N22,'GAS ASCII'!$B$2:$E$210,4)&gt;=500000,VLOOKUP(GAS!N22,'GAS ASCII'!$B$2:$E$210,4)/1000000,IF(VLOOKUP(GAS!N22,'GAS ASCII'!$B$2:$E$210,4)&lt;=0,"……………….","*"))</f>
        <v>1</v>
      </c>
      <c r="M22" s="17"/>
      <c r="N22" t="s">
        <v>198</v>
      </c>
      <c r="O22" s="235"/>
    </row>
    <row r="23" spans="3:15" ht="15.75" customHeight="1">
      <c r="C23" s="6" t="s">
        <v>263</v>
      </c>
      <c r="H23" s="304">
        <f>IF(VLOOKUP(GAS!N23,'GAS ASCII'!$B$2:$C$210,2)&gt;=500000,VLOOKUP(GAS!N23,'GAS ASCII'!$B$2:$C$210,2)/1000000,IF(VLOOKUP(GAS!N23,'GAS ASCII'!$B$2:$C$210,2)&lt;=0,"……………….","*"))</f>
        <v>742.57</v>
      </c>
      <c r="I23" s="17"/>
      <c r="J23" s="304">
        <f>IF(VLOOKUP(GAS!N23,'GAS ASCII'!$B$2:$D$210,3)&gt;=500000,VLOOKUP(GAS!N23,'GAS ASCII'!$B$2:$D$210,3)/-1000000,IF(VLOOKUP(GAS!N23,'GAS ASCII'!$B$2:$D$210,3)&lt;=0,0,"*"))</f>
        <v>0</v>
      </c>
      <c r="K23" s="22"/>
      <c r="L23" s="304">
        <f>IF(VLOOKUP(GAS!N23,'GAS ASCII'!$B$2:$E$210,4)&gt;=500000,VLOOKUP(GAS!N23,'GAS ASCII'!$B$2:$E$210,4)/1000000,IF(VLOOKUP(GAS!N23,'GAS ASCII'!$B$2:$E$210,4)&lt;=0,"……………….","*"))</f>
        <v>742.57</v>
      </c>
      <c r="M23" s="17"/>
      <c r="N23" t="s">
        <v>200</v>
      </c>
      <c r="O23" s="235"/>
    </row>
    <row r="24" spans="3:15" ht="30.75" customHeight="1">
      <c r="C24" s="6" t="s">
        <v>411</v>
      </c>
      <c r="H24" s="304">
        <f>IF(VLOOKUP(GAS!N24,'GAS ASCII'!$B$2:$C$210,2)&gt;=500000,VLOOKUP(GAS!N24,'GAS ASCII'!$B$2:$C$210,2)/1000000,IF(VLOOKUP(GAS!N24,'GAS ASCII'!$B$2:$C$210,2)&lt;=0,"……………….","*"))</f>
        <v>61599.283</v>
      </c>
      <c r="I24" s="17"/>
      <c r="J24" s="304">
        <f>IF(VLOOKUP(GAS!N24,'GAS ASCII'!$B$2:$D$210,3)&gt;=500000,VLOOKUP(GAS!N24,'GAS ASCII'!$B$2:$D$210,3)/-1000000,IF(VLOOKUP(GAS!N24,'GAS ASCII'!$B$2:$D$210,3)&lt;=0,0,"*"))</f>
        <v>0</v>
      </c>
      <c r="K24" s="17"/>
      <c r="L24" s="304">
        <f>IF(VLOOKUP(GAS!N24,'GAS ASCII'!$B$2:$E$210,4)&gt;=500000,VLOOKUP(GAS!N24,'GAS ASCII'!$B$2:$E$210,4)/1000000,IF(VLOOKUP(GAS!N24,'GAS ASCII'!$B$2:$E$210,4)&lt;=0,"……………….","*"))</f>
        <v>61599.283</v>
      </c>
      <c r="M24" s="17"/>
      <c r="N24" t="s">
        <v>202</v>
      </c>
      <c r="O24" s="235"/>
    </row>
    <row r="25" spans="3:15" ht="15.75" customHeight="1">
      <c r="C25" s="6" t="s">
        <v>1001</v>
      </c>
      <c r="H25" s="304">
        <f>IF(VLOOKUP(GAS!N25,'GAS ASCII'!$B$2:$C$210,2)&gt;=500000,VLOOKUP(GAS!N25,'GAS ASCII'!$B$2:$C$210,2)/1000000,IF(VLOOKUP(GAS!N25,'GAS ASCII'!$B$2:$C$210,2)&lt;=0,"……………….","*"))</f>
        <v>23.24433682</v>
      </c>
      <c r="I25" s="17"/>
      <c r="J25" s="304">
        <f>IF(VLOOKUP(GAS!N25,'GAS ASCII'!$B$2:$D$210,3)&gt;=500000,VLOOKUP(GAS!N25,'GAS ASCII'!$B$2:$D$210,3)/-1000000,IF(VLOOKUP(GAS!N25,'GAS ASCII'!$B$2:$D$210,3)&lt;=0,0,"*"))</f>
        <v>0</v>
      </c>
      <c r="K25" s="22"/>
      <c r="L25" s="304">
        <f>IF(VLOOKUP(GAS!N25,'GAS ASCII'!$B$2:$E$210,4)&gt;=500000,VLOOKUP(GAS!N25,'GAS ASCII'!$B$2:$E$210,4)/1000000,IF(VLOOKUP(GAS!N25,'GAS ASCII'!$B$2:$E$210,4)&lt;=0,"……………….","*"))</f>
        <v>23.24433682</v>
      </c>
      <c r="M25" s="17"/>
      <c r="N25" t="s">
        <v>204</v>
      </c>
      <c r="O25" s="235"/>
    </row>
    <row r="26" spans="3:15" ht="30.75" customHeight="1">
      <c r="C26" s="6" t="s">
        <v>165</v>
      </c>
      <c r="H26" s="304">
        <f>IF(VLOOKUP(GAS!N26,'GAS ASCII'!$B$2:$C$210,2)&gt;=500000,VLOOKUP(GAS!N26,'GAS ASCII'!$B$2:$C$210,2)/1000000,IF(VLOOKUP(GAS!N26,'GAS ASCII'!$B$2:$C$210,2)&lt;=0,"……………….","*"))</f>
        <v>4.031</v>
      </c>
      <c r="I26" s="17"/>
      <c r="J26" s="304">
        <f>IF(VLOOKUP(GAS!N26,'GAS ASCII'!$B$2:$D$210,3)&gt;=500000,VLOOKUP(GAS!N26,'GAS ASCII'!$B$2:$D$210,3)/-1000000,IF(VLOOKUP(GAS!N26,'GAS ASCII'!$B$2:$D$210,3)&lt;=0,0,"*"))</f>
        <v>0</v>
      </c>
      <c r="K26" s="17"/>
      <c r="L26" s="304">
        <f>IF(VLOOKUP(GAS!N26,'GAS ASCII'!$B$2:$E$210,4)&gt;=500000,VLOOKUP(GAS!N26,'GAS ASCII'!$B$2:$E$210,4)/1000000,IF(VLOOKUP(GAS!N26,'GAS ASCII'!$B$2:$E$210,4)&lt;=0,"……………….","*"))</f>
        <v>4.031</v>
      </c>
      <c r="M26" s="17"/>
      <c r="N26" t="s">
        <v>206</v>
      </c>
      <c r="O26" s="235"/>
    </row>
    <row r="27" spans="3:15" ht="15.75" customHeight="1">
      <c r="C27" s="6" t="s">
        <v>432</v>
      </c>
      <c r="H27" s="304">
        <f>IF(VLOOKUP(GAS!N27,'GAS ASCII'!$B$2:$C$210,2)&gt;=500000,VLOOKUP(GAS!N27,'GAS ASCII'!$B$2:$C$210,2)/1000000,IF(VLOOKUP(GAS!N27,'GAS ASCII'!$B$2:$C$210,2)&lt;=0,"……………….","*"))</f>
        <v>380.70174834</v>
      </c>
      <c r="I27" s="17"/>
      <c r="J27" s="304">
        <f>IF(VLOOKUP(GAS!N27,'GAS ASCII'!$B$2:$D$210,3)&gt;=500000,VLOOKUP(GAS!N27,'GAS ASCII'!$B$2:$D$210,3)/-1000000,IF(VLOOKUP(GAS!N27,'GAS ASCII'!$B$2:$D$210,3)&lt;=0,0,"*"))</f>
        <v>0</v>
      </c>
      <c r="K27" s="17"/>
      <c r="L27" s="304">
        <f>IF(VLOOKUP(GAS!N27,'GAS ASCII'!$B$2:$E$210,4)&gt;=500000,VLOOKUP(GAS!N27,'GAS ASCII'!$B$2:$E$210,4)/1000000,IF(VLOOKUP(GAS!N27,'GAS ASCII'!$B$2:$E$210,4)&lt;=0,"……………….","*"))</f>
        <v>380.70174834</v>
      </c>
      <c r="M27" s="17"/>
      <c r="N27" t="s">
        <v>1052</v>
      </c>
      <c r="O27" s="235"/>
    </row>
    <row r="28" spans="3:15" ht="30.75" customHeight="1">
      <c r="C28" s="6" t="s">
        <v>550</v>
      </c>
      <c r="H28" s="304">
        <f>IF(VLOOKUP(GAS!N28,'GAS ASCII'!$B$2:$C$210,2)&gt;=500000,VLOOKUP(GAS!N28,'GAS ASCII'!$B$2:$C$210,2)/1000000,IF(VLOOKUP(GAS!N28,'GAS ASCII'!$B$2:$C$210,2)&lt;=0,"……………….","*"))</f>
        <v>1.615</v>
      </c>
      <c r="I28" s="17"/>
      <c r="J28" s="304">
        <f>IF(VLOOKUP(GAS!N28,'GAS ASCII'!$B$2:$D$210,3)&gt;=500000,VLOOKUP(GAS!N28,'GAS ASCII'!$B$2:$D$210,3)/-1000000,IF(VLOOKUP(GAS!N28,'GAS ASCII'!$B$2:$D$210,3)&lt;=0,0,"*"))</f>
        <v>0</v>
      </c>
      <c r="K28" s="22"/>
      <c r="L28" s="304">
        <f>IF(VLOOKUP(GAS!N28,'GAS ASCII'!$B$2:$E$210,4)&gt;=500000,VLOOKUP(GAS!N28,'GAS ASCII'!$B$2:$E$210,4)/1000000,IF(VLOOKUP(GAS!N28,'GAS ASCII'!$B$2:$E$210,4)&lt;=0,"……………….","*"))</f>
        <v>1.615</v>
      </c>
      <c r="M28" s="17"/>
      <c r="N28" t="s">
        <v>534</v>
      </c>
      <c r="O28" s="235"/>
    </row>
    <row r="29" spans="2:15" s="64" customFormat="1" ht="15.75" customHeight="1">
      <c r="B29" s="64" t="s">
        <v>90</v>
      </c>
      <c r="C29" s="298"/>
      <c r="H29" s="286">
        <f>SUM(H7:H28)</f>
        <v>66005.02814698001</v>
      </c>
      <c r="I29" s="287"/>
      <c r="J29" s="286">
        <f>SUM(J5:J28)</f>
        <v>-5.8340000000000005</v>
      </c>
      <c r="K29" s="288"/>
      <c r="L29" s="286">
        <f>SUM(L5:L28)</f>
        <v>65998.72714698002</v>
      </c>
      <c r="M29" s="287"/>
      <c r="O29" s="299"/>
    </row>
    <row r="30" spans="3:15" s="64" customFormat="1" ht="15.75" customHeight="1">
      <c r="C30" s="298"/>
      <c r="H30" s="408"/>
      <c r="I30" s="147"/>
      <c r="J30" s="408"/>
      <c r="K30" s="409"/>
      <c r="L30" s="408"/>
      <c r="M30" s="147"/>
      <c r="O30" s="299"/>
    </row>
    <row r="31" spans="2:15" ht="30.75" customHeight="1">
      <c r="B31" t="s">
        <v>475</v>
      </c>
      <c r="C31" s="108"/>
      <c r="H31" s="41"/>
      <c r="I31" s="17"/>
      <c r="J31" s="39"/>
      <c r="K31" s="22"/>
      <c r="L31" s="41"/>
      <c r="M31" s="17"/>
      <c r="O31" s="235"/>
    </row>
    <row r="32" spans="3:15" ht="15.75" customHeight="1">
      <c r="C32" s="6" t="s">
        <v>215</v>
      </c>
      <c r="H32" s="32"/>
      <c r="I32" s="17"/>
      <c r="J32" s="32"/>
      <c r="K32" s="17"/>
      <c r="L32" s="32"/>
      <c r="M32" s="17"/>
      <c r="O32" s="235"/>
    </row>
    <row r="33" spans="3:15" ht="15.75" customHeight="1">
      <c r="C33" s="6" t="s">
        <v>600</v>
      </c>
      <c r="H33" s="304">
        <f>IF(VLOOKUP(GAS!N33,'GAS ASCII'!$B$2:$C$210,2)&gt;=500000,VLOOKUP(GAS!N33,'GAS ASCII'!$B$2:$C$210,2)/1000000,IF(VLOOKUP(GAS!N33,'GAS ASCII'!$B$2:$C$210,2)&lt;=0,"……………….","*"))</f>
        <v>2088.98886452</v>
      </c>
      <c r="I33" s="17"/>
      <c r="J33" s="304">
        <f>IF(VLOOKUP(GAS!N33,'GAS ASCII'!$B$2:$D$210,3)&gt;=500000,VLOOKUP(GAS!N33,'GAS ASCII'!$B$2:$D$210,3)/-1000000,IF(VLOOKUP(GAS!N33,'GAS ASCII'!$B$2:$D$210,3)&lt;=0,0,"*"))</f>
        <v>0</v>
      </c>
      <c r="K33" s="22"/>
      <c r="L33" s="304">
        <f>IF(VLOOKUP(GAS!N33,'GAS ASCII'!$B$2:$E$210,4)&gt;=500000,VLOOKUP(GAS!N33,'GAS ASCII'!$B$2:$E$210,4)/1000000,IF(VLOOKUP(GAS!N33,'GAS ASCII'!$B$2:$E$210,4)&lt;=0,"……………….","*"))</f>
        <v>2088.98886452</v>
      </c>
      <c r="M33" s="33"/>
      <c r="N33" t="s">
        <v>515</v>
      </c>
      <c r="O33" s="235"/>
    </row>
    <row r="34" spans="3:15" ht="15.75" customHeight="1">
      <c r="C34" s="6" t="s">
        <v>966</v>
      </c>
      <c r="H34" s="304">
        <f>IF(VLOOKUP(GAS!N34,'GAS ASCII'!$B$2:$C$210,2)&gt;=500000,VLOOKUP(GAS!N34,'GAS ASCII'!$B$2:$C$210,2)/1000000,IF(VLOOKUP(GAS!N34,'GAS ASCII'!$B$2:$C$210,2)&lt;=0,"……………….","*"))</f>
        <v>12465.37</v>
      </c>
      <c r="I34" s="17" t="s">
        <v>62</v>
      </c>
      <c r="J34" s="304">
        <f>IF(VLOOKUP(GAS!N34,'GAS ASCII'!$B$2:$D$210,3)&gt;=500000,VLOOKUP(GAS!N34,'GAS ASCII'!$B$2:$D$210,3)/-1000000,IF(VLOOKUP(GAS!N34,'GAS ASCII'!$B$2:$D$210,3)&lt;=0,0,"*"))</f>
        <v>0</v>
      </c>
      <c r="K34" s="152"/>
      <c r="L34" s="304">
        <f>IF(VLOOKUP(GAS!N34,'GAS ASCII'!$B$2:$E$210,4)&gt;=500000,VLOOKUP(GAS!N34,'GAS ASCII'!$B$2:$E$210,4)/1000000,IF(VLOOKUP(GAS!N34,'GAS ASCII'!$B$2:$E$210,4)&lt;=0,"……………….","*"))</f>
        <v>12465.37</v>
      </c>
      <c r="M34" s="17"/>
      <c r="N34" t="s">
        <v>517</v>
      </c>
      <c r="O34" s="235"/>
    </row>
    <row r="35" spans="3:15" ht="15.75" customHeight="1">
      <c r="C35" s="6" t="s">
        <v>909</v>
      </c>
      <c r="H35" s="304">
        <f>IF(VLOOKUP(GAS!N35,'GAS ASCII'!$B$2:$C$210,2)&gt;=500000,VLOOKUP(GAS!N35,'GAS ASCII'!$B$2:$C$210,2)/1000000,IF(VLOOKUP(GAS!N35,'GAS ASCII'!$B$2:$C$210,2)&lt;=0,"……………….","*"))</f>
        <v>1.104</v>
      </c>
      <c r="I35" s="17"/>
      <c r="J35" s="304">
        <f>IF(VLOOKUP(GAS!N35,'GAS ASCII'!$B$2:$D$210,3)&gt;=500000,VLOOKUP(GAS!N35,'GAS ASCII'!$B$2:$D$210,3)/-1000000,IF(VLOOKUP(GAS!N35,'GAS ASCII'!$B$2:$D$210,3)&lt;=0,0,"*"))</f>
        <v>0</v>
      </c>
      <c r="K35" s="22"/>
      <c r="L35" s="304">
        <f>IF(VLOOKUP(GAS!N35,'GAS ASCII'!$B$2:$E$210,4)&gt;=500000,VLOOKUP(GAS!N35,'GAS ASCII'!$B$2:$E$210,4)/1000000,IF(VLOOKUP(GAS!N35,'GAS ASCII'!$B$2:$E$210,4)&lt;=0,"……………….","*"))</f>
        <v>1.104</v>
      </c>
      <c r="M35" s="17"/>
      <c r="N35" t="s">
        <v>519</v>
      </c>
      <c r="O35" s="235"/>
    </row>
    <row r="36" spans="3:15" ht="15.75" customHeight="1">
      <c r="C36" s="6" t="s">
        <v>908</v>
      </c>
      <c r="H36" s="304">
        <f>IF(VLOOKUP(GAS!N36,'GAS ASCII'!$B$2:$C$210,2)&gt;=500000,VLOOKUP(GAS!N36,'GAS ASCII'!$B$2:$C$210,2)/1000000,IF(VLOOKUP(GAS!N36,'GAS ASCII'!$B$2:$C$210,2)&lt;=0,"……………….","*"))</f>
        <v>1503.199</v>
      </c>
      <c r="I36" s="17"/>
      <c r="J36" s="304">
        <f>IF(VLOOKUP(GAS!N36,'GAS ASCII'!$B$2:$D$210,3)&gt;=500000,VLOOKUP(GAS!N36,'GAS ASCII'!$B$2:$D$210,3)/-1000000,IF(VLOOKUP(GAS!N36,'GAS ASCII'!$B$2:$D$210,3)&lt;=0,0,"*"))</f>
        <v>0</v>
      </c>
      <c r="K36" s="22"/>
      <c r="L36" s="304">
        <f>IF(VLOOKUP(GAS!N36,'GAS ASCII'!$B$2:$E$210,4)&gt;=500000,VLOOKUP(GAS!N36,'GAS ASCII'!$B$2:$E$210,4)/1000000,IF(VLOOKUP(GAS!N36,'GAS ASCII'!$B$2:$E$210,4)&lt;=0,"……………….","*"))</f>
        <v>1503.199</v>
      </c>
      <c r="M36" s="17"/>
      <c r="N36" t="s">
        <v>521</v>
      </c>
      <c r="O36" s="235"/>
    </row>
    <row r="37" spans="3:15" ht="15.75" customHeight="1">
      <c r="C37" s="6" t="s">
        <v>906</v>
      </c>
      <c r="H37" s="304">
        <f>IF(VLOOKUP(GAS!N37,'GAS ASCII'!$B$2:$C$210,2)&gt;=500000,VLOOKUP(GAS!N37,'GAS ASCII'!$B$2:$C$210,2)/1000000,IF(VLOOKUP(GAS!N37,'GAS ASCII'!$B$2:$C$210,2)&lt;=0,"……………….","*"))</f>
        <v>116.34823614</v>
      </c>
      <c r="I37" s="17"/>
      <c r="J37" s="304">
        <f>IF(VLOOKUP(GAS!N37,'GAS ASCII'!$B$2:$D$210,3)&gt;=500000,VLOOKUP(GAS!N37,'GAS ASCII'!$B$2:$D$210,3)/-1000000,IF(VLOOKUP(GAS!N37,'GAS ASCII'!$B$2:$D$210,3)&lt;=0,0,"*"))</f>
        <v>0</v>
      </c>
      <c r="K37" s="22"/>
      <c r="L37" s="304">
        <f>IF(VLOOKUP(GAS!N37,'GAS ASCII'!$B$2:$E$210,4)&gt;=500000,VLOOKUP(GAS!N37,'GAS ASCII'!$B$2:$E$210,4)/1000000,IF(VLOOKUP(GAS!N37,'GAS ASCII'!$B$2:$E$210,4)&lt;=0,"……………….","*"))</f>
        <v>116.34823614</v>
      </c>
      <c r="M37" s="17"/>
      <c r="N37" t="s">
        <v>541</v>
      </c>
      <c r="O37" s="235"/>
    </row>
    <row r="38" spans="3:15" ht="15.75" customHeight="1">
      <c r="C38" s="6" t="s">
        <v>1069</v>
      </c>
      <c r="H38" s="304">
        <f>IF(VLOOKUP(GAS!N38,'GAS ASCII'!$B$2:$C$210,2)&gt;=500000,VLOOKUP(GAS!N38,'GAS ASCII'!$B$2:$C$210,2)/1000000,IF(VLOOKUP(GAS!N38,'GAS ASCII'!$B$2:$C$210,2)&lt;=0,"……………….","*"))</f>
        <v>432.173</v>
      </c>
      <c r="I38" s="17"/>
      <c r="J38" s="304">
        <f>IF(VLOOKUP(GAS!N38,'GAS ASCII'!$B$2:$D$210,3)&gt;=500000,VLOOKUP(GAS!N38,'GAS ASCII'!$B$2:$D$210,3)/-1000000,IF(VLOOKUP(GAS!N38,'GAS ASCII'!$B$2:$D$210,3)&lt;=0,0,"*"))</f>
        <v>0</v>
      </c>
      <c r="K38" s="22"/>
      <c r="L38" s="304">
        <f>IF(VLOOKUP(GAS!N38,'GAS ASCII'!$B$2:$E$210,4)&gt;=500000,VLOOKUP(GAS!N38,'GAS ASCII'!$B$2:$E$210,4)/1000000,IF(VLOOKUP(GAS!N38,'GAS ASCII'!$B$2:$E$210,4)&lt;=0,"……………….","*"))</f>
        <v>432.173</v>
      </c>
      <c r="M38" s="17"/>
      <c r="N38" t="s">
        <v>577</v>
      </c>
      <c r="O38" s="235"/>
    </row>
    <row r="39" spans="3:15" ht="15.75" customHeight="1">
      <c r="C39" s="6" t="s">
        <v>898</v>
      </c>
      <c r="H39" s="304">
        <f>IF(VLOOKUP(GAS!N39,'GAS ASCII'!$B$2:$C$210,2)&gt;=500000,VLOOKUP(GAS!N39,'GAS ASCII'!$B$2:$C$210,2)/1000000,IF(VLOOKUP(GAS!N39,'GAS ASCII'!$B$2:$C$210,2)&lt;=0,"……………….","*"))</f>
        <v>459.769</v>
      </c>
      <c r="I39" s="17"/>
      <c r="J39" s="304">
        <f>IF(VLOOKUP(GAS!N39,'GAS ASCII'!$B$2:$D$210,3)&gt;=500000,VLOOKUP(GAS!N39,'GAS ASCII'!$B$2:$D$210,3)/-1000000,IF(VLOOKUP(GAS!N39,'GAS ASCII'!$B$2:$D$210,3)&lt;=0,0,"*"))</f>
        <v>0</v>
      </c>
      <c r="K39" s="22"/>
      <c r="L39" s="304">
        <f>IF(VLOOKUP(GAS!N39,'GAS ASCII'!$B$2:$E$210,4)&gt;=500000,VLOOKUP(GAS!N39,'GAS ASCII'!$B$2:$E$210,4)/1000000,IF(VLOOKUP(GAS!N39,'GAS ASCII'!$B$2:$E$210,4)&lt;=0,"……………….","*"))</f>
        <v>459.769</v>
      </c>
      <c r="M39" s="17"/>
      <c r="N39" t="s">
        <v>359</v>
      </c>
      <c r="O39" s="235"/>
    </row>
    <row r="40" spans="3:15" ht="15.75" customHeight="1">
      <c r="C40" s="6" t="s">
        <v>255</v>
      </c>
      <c r="H40" s="304">
        <f>IF(VLOOKUP(GAS!N40,'GAS ASCII'!$B$2:$C$210,2)&gt;=500000,VLOOKUP(GAS!N40,'GAS ASCII'!$B$2:$C$210,2)/1000000,IF(VLOOKUP(GAS!N40,'GAS ASCII'!$B$2:$C$210,2)&lt;=0,"……………….","*"))</f>
        <v>489.046</v>
      </c>
      <c r="I40" s="17"/>
      <c r="J40" s="304">
        <f>IF(VLOOKUP(GAS!N40,'GAS ASCII'!$B$2:$D$210,3)&gt;=500000,VLOOKUP(GAS!N40,'GAS ASCII'!$B$2:$D$210,3)/-1000000,IF(VLOOKUP(GAS!N40,'GAS ASCII'!$B$2:$D$210,3)&lt;=0,0,"*"))</f>
        <v>0</v>
      </c>
      <c r="K40" s="22"/>
      <c r="L40" s="304">
        <f>IF(VLOOKUP(GAS!N40,'GAS ASCII'!$B$2:$E$210,4)&gt;=500000,VLOOKUP(GAS!N40,'GAS ASCII'!$B$2:$E$210,4)/1000000,IF(VLOOKUP(GAS!N40,'GAS ASCII'!$B$2:$E$210,4)&lt;=0,"……………….","*"))</f>
        <v>489.046</v>
      </c>
      <c r="M40" s="17"/>
      <c r="N40" t="s">
        <v>361</v>
      </c>
      <c r="O40" s="235"/>
    </row>
    <row r="41" spans="3:15" ht="30.75" customHeight="1">
      <c r="C41" s="6" t="s">
        <v>500</v>
      </c>
      <c r="H41" s="304">
        <f>IF(VLOOKUP(GAS!N41,'GAS ASCII'!$B$2:$C$210,2)&gt;=500000,VLOOKUP(GAS!N41,'GAS ASCII'!$B$2:$C$210,2)/1000000,IF(VLOOKUP(GAS!N41,'GAS ASCII'!$B$2:$C$210,2)&lt;=0,"……………….","*"))</f>
        <v>33709.31305</v>
      </c>
      <c r="I41" s="17"/>
      <c r="J41" s="304">
        <f>IF(VLOOKUP(GAS!N41,'GAS ASCII'!$B$2:$D$210,3)&gt;=500000,VLOOKUP(GAS!N41,'GAS ASCII'!$B$2:$D$210,3)/-1000000,IF(VLOOKUP(GAS!N41,'GAS ASCII'!$B$2:$D$210,3)&lt;=0,0,"*"))</f>
        <v>-1480</v>
      </c>
      <c r="K41" s="17"/>
      <c r="L41" s="304">
        <f>IF(VLOOKUP(GAS!N41,'GAS ASCII'!$B$2:$E$210,4)&gt;=500000,VLOOKUP(GAS!N41,'GAS ASCII'!$B$2:$E$210,4)/1000000,IF(VLOOKUP(GAS!N41,'GAS ASCII'!$B$2:$E$210,4)&lt;=0,"……………….","*"))</f>
        <v>32229.31305</v>
      </c>
      <c r="M41" s="17"/>
      <c r="N41" t="s">
        <v>363</v>
      </c>
      <c r="O41" s="235"/>
    </row>
    <row r="42" spans="2:15" ht="15.75" customHeight="1">
      <c r="B42" s="131"/>
      <c r="C42" s="6" t="s">
        <v>932</v>
      </c>
      <c r="D42" s="64"/>
      <c r="H42" s="304">
        <f>IF(VLOOKUP(GAS!N42,'GAS ASCII'!$B$2:$C$210,2)&gt;=500000,VLOOKUP(GAS!N42,'GAS ASCII'!$B$2:$C$210,2)/1000000,IF(VLOOKUP(GAS!N42,'GAS ASCII'!$B$2:$C$210,2)&lt;=0,"……………….","*"))</f>
        <v>0.759</v>
      </c>
      <c r="I42" s="17"/>
      <c r="J42" s="304">
        <f>IF(VLOOKUP(GAS!N42,'GAS ASCII'!$B$2:$D$210,3)&gt;=500000,VLOOKUP(GAS!N42,'GAS ASCII'!$B$2:$D$210,3)/-1000000,IF(VLOOKUP(GAS!N42,'GAS ASCII'!$B$2:$D$210,3)&lt;=0,0,"*"))</f>
        <v>0</v>
      </c>
      <c r="K42" s="22"/>
      <c r="L42" s="304">
        <f>IF(VLOOKUP(GAS!N42,'GAS ASCII'!$B$2:$E$210,4)&gt;=500000,VLOOKUP(GAS!N42,'GAS ASCII'!$B$2:$E$210,4)/1000000,IF(VLOOKUP(GAS!N42,'GAS ASCII'!$B$2:$E$210,4)&lt;=0,"……………….","*"))</f>
        <v>0.759</v>
      </c>
      <c r="M42" s="17"/>
      <c r="N42" t="s">
        <v>365</v>
      </c>
      <c r="O42" s="235"/>
    </row>
    <row r="43" spans="3:15" ht="15.75" customHeight="1">
      <c r="C43" s="6" t="s">
        <v>179</v>
      </c>
      <c r="H43" s="304">
        <f>IF(VLOOKUP(GAS!N43,'GAS ASCII'!$B$2:$C$210,2)&gt;=500000,VLOOKUP(GAS!N43,'GAS ASCII'!$B$2:$C$210,2)/1000000,IF(VLOOKUP(GAS!N43,'GAS ASCII'!$B$2:$C$210,2)&lt;=0,"……………….","*"))</f>
        <v>1.81</v>
      </c>
      <c r="I43" s="17"/>
      <c r="J43" s="304">
        <f>IF(VLOOKUP(GAS!N43,'GAS ASCII'!$B$2:$D$210,3)&gt;=500000,VLOOKUP(GAS!N43,'GAS ASCII'!$B$2:$D$210,3)/-1000000,IF(VLOOKUP(GAS!N43,'GAS ASCII'!$B$2:$D$210,3)&lt;=0,0,"*"))</f>
        <v>0</v>
      </c>
      <c r="K43" s="22"/>
      <c r="L43" s="304">
        <f>IF(VLOOKUP(GAS!N43,'GAS ASCII'!$B$2:$E$210,4)&gt;=500000,VLOOKUP(GAS!N43,'GAS ASCII'!$B$2:$E$210,4)/1000000,IF(VLOOKUP(GAS!N43,'GAS ASCII'!$B$2:$E$210,4)&lt;=0,"……………….","*"))</f>
        <v>1.81</v>
      </c>
      <c r="M43" s="98"/>
      <c r="N43" t="s">
        <v>366</v>
      </c>
      <c r="O43" s="235"/>
    </row>
    <row r="44" spans="3:15" ht="15.75" customHeight="1">
      <c r="C44" s="6" t="s">
        <v>438</v>
      </c>
      <c r="H44" s="304"/>
      <c r="I44" s="17"/>
      <c r="J44" s="304"/>
      <c r="K44" s="22"/>
      <c r="L44" s="304"/>
      <c r="M44" s="98"/>
      <c r="O44" s="235"/>
    </row>
    <row r="45" spans="3:15" ht="15.75" customHeight="1">
      <c r="C45" s="6" t="s">
        <v>882</v>
      </c>
      <c r="H45" s="304" t="str">
        <f>IF(VLOOKUP(GAS!N45,'GAS ASCII'!$B$2:$C$210,2)&gt;=500000,VLOOKUP(GAS!N45,'GAS ASCII'!$B$2:$C$210,2)/1000000,IF(VLOOKUP(GAS!N45,'GAS ASCII'!$B$2:$C$210,2)&lt;=0,"……………….","*"))</f>
        <v>*</v>
      </c>
      <c r="I45" s="17"/>
      <c r="J45" s="304">
        <f>IF(VLOOKUP(GAS!N45,'GAS ASCII'!$B$2:$D$210,3)&gt;=500000,VLOOKUP(GAS!N45,'GAS ASCII'!$B$2:$D$210,3)/-1000000,IF(VLOOKUP(GAS!N45,'GAS ASCII'!$B$2:$D$210,3)&lt;=0,0,"*"))</f>
        <v>0</v>
      </c>
      <c r="K45" s="22"/>
      <c r="L45" s="304" t="str">
        <f>IF(VLOOKUP(GAS!N45,'GAS ASCII'!$B$2:$E$210,4)&gt;=500000,VLOOKUP(GAS!N45,'GAS ASCII'!$B$2:$E$210,4)/1000000,IF(VLOOKUP(GAS!N45,'GAS ASCII'!$B$2:$E$210,4)&lt;=0,"……………….","*"))</f>
        <v>*</v>
      </c>
      <c r="M45" s="98"/>
      <c r="N45" t="s">
        <v>1117</v>
      </c>
      <c r="O45" s="235"/>
    </row>
    <row r="46" spans="2:15" ht="15.75" customHeight="1">
      <c r="B46" s="131"/>
      <c r="C46" s="6" t="s">
        <v>1118</v>
      </c>
      <c r="D46" s="64"/>
      <c r="H46" s="304">
        <f>IF(VLOOKUP(GAS!N46,'GAS ASCII'!$B$2:$C$210,2)&gt;=500000,VLOOKUP(GAS!N46,'GAS ASCII'!$B$2:$C$210,2)/1000000,IF(VLOOKUP(GAS!N46,'GAS ASCII'!$B$2:$C$210,2)&lt;=0,"……………….","*"))</f>
        <v>6.66991733</v>
      </c>
      <c r="I46" s="17"/>
      <c r="J46" s="304">
        <f>IF(VLOOKUP(GAS!N46,'GAS ASCII'!$B$2:$D$210,3)&gt;=500000,VLOOKUP(GAS!N46,'GAS ASCII'!$B$2:$D$210,3)/-1000000,IF(VLOOKUP(GAS!N46,'GAS ASCII'!$B$2:$D$210,3)&lt;=0,0,"*"))</f>
        <v>0</v>
      </c>
      <c r="K46" s="22"/>
      <c r="L46" s="304">
        <f>IF(VLOOKUP(GAS!N46,'GAS ASCII'!$B$2:$E$210,4)&gt;=500000,VLOOKUP(GAS!N46,'GAS ASCII'!$B$2:$E$210,4)/1000000,IF(VLOOKUP(GAS!N46,'GAS ASCII'!$B$2:$E$210,4)&lt;=0,"……………….","*"))</f>
        <v>6.66991733</v>
      </c>
      <c r="M46" s="17"/>
      <c r="N46" t="s">
        <v>454</v>
      </c>
      <c r="O46" s="235"/>
    </row>
    <row r="47" spans="3:15" ht="30.75" customHeight="1">
      <c r="C47" s="6" t="s">
        <v>904</v>
      </c>
      <c r="H47" s="304">
        <f>IF(VLOOKUP(GAS!N47,'GAS ASCII'!$B$2:$C$210,2)&gt;=500000,VLOOKUP(GAS!N47,'GAS ASCII'!$B$2:$C$210,2)/1000000,IF(VLOOKUP(GAS!N47,'GAS ASCII'!$B$2:$C$210,2)&lt;=0,"……………….","*"))</f>
        <v>74.248</v>
      </c>
      <c r="I47" s="17"/>
      <c r="J47" s="304">
        <f>IF(VLOOKUP(GAS!N47,'GAS ASCII'!$B$2:$D$210,3)&gt;=500000,VLOOKUP(GAS!N47,'GAS ASCII'!$B$2:$D$210,3)/-1000000,IF(VLOOKUP(GAS!N47,'GAS ASCII'!$B$2:$D$210,3)&lt;=0,0,"*"))</f>
        <v>0</v>
      </c>
      <c r="K47" s="17"/>
      <c r="L47" s="304">
        <f>IF(VLOOKUP(GAS!N47,'GAS ASCII'!$B$2:$E$210,4)&gt;=500000,VLOOKUP(GAS!N47,'GAS ASCII'!$B$2:$E$210,4)/1000000,IF(VLOOKUP(GAS!N47,'GAS ASCII'!$B$2:$E$210,4)&lt;=0,"……………….","*"))</f>
        <v>74.248</v>
      </c>
      <c r="M47" s="17"/>
      <c r="N47" t="s">
        <v>75</v>
      </c>
      <c r="O47" s="235"/>
    </row>
    <row r="48" spans="3:15" ht="15.75" customHeight="1">
      <c r="C48" s="6" t="s">
        <v>439</v>
      </c>
      <c r="H48" s="304"/>
      <c r="I48" s="17"/>
      <c r="J48" s="304"/>
      <c r="K48" s="22"/>
      <c r="L48" s="304"/>
      <c r="M48" s="17"/>
      <c r="O48" s="235"/>
    </row>
    <row r="49" spans="3:15" ht="15.75" customHeight="1">
      <c r="C49" s="6" t="s">
        <v>847</v>
      </c>
      <c r="H49" s="304">
        <f>IF(VLOOKUP(GAS!N49,'GAS ASCII'!$B$2:$C$210,2)&gt;=500000,VLOOKUP(GAS!N49,'GAS ASCII'!$B$2:$C$210,2)/1000000,IF(VLOOKUP(GAS!N49,'GAS ASCII'!$B$2:$C$210,2)&lt;=0,"……………….","*"))</f>
        <v>28.08368269</v>
      </c>
      <c r="I49" s="17"/>
      <c r="J49" s="304">
        <f>IF(VLOOKUP(GAS!N49,'GAS ASCII'!$B$2:$D$210,3)&gt;=500000,VLOOKUP(GAS!N49,'GAS ASCII'!$B$2:$D$210,3)/-1000000,IF(VLOOKUP(GAS!N49,'GAS ASCII'!$B$2:$D$210,3)&lt;=0,0,"*"))</f>
        <v>0</v>
      </c>
      <c r="K49" s="22"/>
      <c r="L49" s="304">
        <f>IF(VLOOKUP(GAS!N49,'GAS ASCII'!$B$2:$E$210,4)&gt;=500000,VLOOKUP(GAS!N49,'GAS ASCII'!$B$2:$E$210,4)/1000000,IF(VLOOKUP(GAS!N49,'GAS ASCII'!$B$2:$E$210,4)&lt;=0,"……………….","*"))</f>
        <v>28.08368269</v>
      </c>
      <c r="M49" s="98"/>
      <c r="N49" t="s">
        <v>328</v>
      </c>
      <c r="O49" s="235"/>
    </row>
    <row r="50" spans="3:15" ht="15.75" customHeight="1">
      <c r="C50" s="6" t="s">
        <v>245</v>
      </c>
      <c r="H50" s="304"/>
      <c r="I50" s="17"/>
      <c r="J50" s="304"/>
      <c r="K50" s="17"/>
      <c r="L50" s="304"/>
      <c r="M50" s="17"/>
      <c r="O50" s="235"/>
    </row>
    <row r="51" spans="3:15" ht="15.75" customHeight="1">
      <c r="C51" s="6" t="s">
        <v>118</v>
      </c>
      <c r="H51" s="304">
        <f>IF(VLOOKUP(GAS!N51,'GAS ASCII'!$B$2:$C$210,2)&gt;=500000,VLOOKUP(GAS!N51,'GAS ASCII'!$B$2:$C$210,2)/1000000,IF(VLOOKUP(GAS!N51,'GAS ASCII'!$B$2:$C$210,2)&lt;=0,"……………….","*"))</f>
        <v>2.032</v>
      </c>
      <c r="I51" s="17"/>
      <c r="J51" s="304">
        <f>IF(VLOOKUP(GAS!N51,'GAS ASCII'!$B$2:$D$210,3)&gt;=500000,VLOOKUP(GAS!N51,'GAS ASCII'!$B$2:$D$210,3)/-1000000,IF(VLOOKUP(GAS!N51,'GAS ASCII'!$B$2:$D$210,3)&lt;=0,0,"*"))</f>
        <v>0</v>
      </c>
      <c r="K51" s="22"/>
      <c r="L51" s="304">
        <f>IF(VLOOKUP(GAS!N51,'GAS ASCII'!$B$2:$E$210,4)&gt;=500000,VLOOKUP(GAS!N51,'GAS ASCII'!$B$2:$E$210,4)/1000000,IF(VLOOKUP(GAS!N51,'GAS ASCII'!$B$2:$E$210,4)&lt;=0,"……………….","*"))</f>
        <v>2.032</v>
      </c>
      <c r="M51" s="17"/>
      <c r="N51" t="s">
        <v>330</v>
      </c>
      <c r="O51" s="235"/>
    </row>
    <row r="52" spans="3:15" ht="15.75" customHeight="1">
      <c r="C52" s="6" t="s">
        <v>907</v>
      </c>
      <c r="H52" s="304">
        <f>IF(VLOOKUP(GAS!N52,'GAS ASCII'!$B$2:$C$210,2)&gt;=500000,VLOOKUP(GAS!N52,'GAS ASCII'!$B$2:$C$210,2)/1000000,IF(VLOOKUP(GAS!N52,'GAS ASCII'!$B$2:$C$210,2)&lt;=0,"……………….","*"))</f>
        <v>739828.36265144</v>
      </c>
      <c r="I52" s="17"/>
      <c r="J52" s="304">
        <f>IF(VLOOKUP(GAS!N52,'GAS ASCII'!$B$2:$D$210,3)&gt;=500000,VLOOKUP(GAS!N52,'GAS ASCII'!$B$2:$D$210,3)/-1000000,IF(VLOOKUP(GAS!N52,'GAS ASCII'!$B$2:$D$210,3)&lt;=0,0,"*"))</f>
        <v>-110948.75065144</v>
      </c>
      <c r="K52" s="17"/>
      <c r="L52" s="304">
        <f>IF(VLOOKUP(GAS!N52,'GAS ASCII'!$B$2:$E$210,4)&gt;=500000,VLOOKUP(GAS!N52,'GAS ASCII'!$B$2:$E$210,4)/1000000,IF(VLOOKUP(GAS!N52,'GAS ASCII'!$B$2:$E$210,4)&lt;=0,"……………….","*"))</f>
        <v>628879.612</v>
      </c>
      <c r="M52" s="17"/>
      <c r="N52" t="s">
        <v>332</v>
      </c>
      <c r="O52" s="235"/>
    </row>
    <row r="53" spans="3:15" ht="15.75" customHeight="1">
      <c r="C53" s="6" t="s">
        <v>178</v>
      </c>
      <c r="H53" s="304">
        <f>IF(VLOOKUP(GAS!N53,'GAS ASCII'!$B$2:$C$210,2)&gt;=500000,VLOOKUP(GAS!N53,'GAS ASCII'!$B$2:$C$210,2)/1000000,IF(VLOOKUP(GAS!N53,'GAS ASCII'!$B$2:$C$210,2)&lt;=0,"……………….","*"))</f>
        <v>13.195</v>
      </c>
      <c r="I53" s="17"/>
      <c r="J53" s="304">
        <f>IF(VLOOKUP(GAS!N53,'GAS ASCII'!$B$2:$D$210,3)&gt;=500000,VLOOKUP(GAS!N53,'GAS ASCII'!$B$2:$D$210,3)/-1000000,IF(VLOOKUP(GAS!N53,'GAS ASCII'!$B$2:$D$210,3)&lt;=0,0,"*"))</f>
        <v>0</v>
      </c>
      <c r="K53" s="22"/>
      <c r="L53" s="304">
        <f>IF(VLOOKUP(GAS!N53,'GAS ASCII'!$B$2:$E$210,4)&gt;=500000,VLOOKUP(GAS!N53,'GAS ASCII'!$B$2:$E$210,4)/1000000,IF(VLOOKUP(GAS!N53,'GAS ASCII'!$B$2:$E$210,4)&lt;=0,"……………….","*"))</f>
        <v>13.195</v>
      </c>
      <c r="M53" s="17"/>
      <c r="N53" t="s">
        <v>334</v>
      </c>
      <c r="O53" s="235"/>
    </row>
    <row r="54" spans="3:15" ht="15.75" customHeight="1">
      <c r="C54" s="6" t="s">
        <v>480</v>
      </c>
      <c r="H54" s="304">
        <f>IF(VLOOKUP(GAS!N54,'GAS ASCII'!$B$2:$C$210,2)&gt;=500000,VLOOKUP(GAS!N54,'GAS ASCII'!$B$2:$C$210,2)/1000000,IF(VLOOKUP(GAS!N54,'GAS ASCII'!$B$2:$C$210,2)&lt;=0,"……………….","*"))</f>
        <v>1.27</v>
      </c>
      <c r="I54" s="17"/>
      <c r="J54" s="304">
        <f>IF(VLOOKUP(GAS!N54,'GAS ASCII'!$B$2:$D$210,3)&gt;=500000,VLOOKUP(GAS!N54,'GAS ASCII'!$B$2:$D$210,3)/-1000000,IF(VLOOKUP(GAS!N54,'GAS ASCII'!$B$2:$D$210,3)&lt;=0,0,"*"))</f>
        <v>0</v>
      </c>
      <c r="K54" s="22"/>
      <c r="L54" s="304">
        <f>IF(VLOOKUP(GAS!N54,'GAS ASCII'!$B$2:$E$210,4)&gt;=500000,VLOOKUP(GAS!N54,'GAS ASCII'!$B$2:$E$210,4)/1000000,IF(VLOOKUP(GAS!N54,'GAS ASCII'!$B$2:$E$210,4)&lt;=0,"……………….","*"))</f>
        <v>1.27</v>
      </c>
      <c r="M54" s="17"/>
      <c r="N54" t="s">
        <v>335</v>
      </c>
      <c r="O54" s="235"/>
    </row>
    <row r="55" spans="3:15" ht="15.75" customHeight="1">
      <c r="C55" s="6" t="s">
        <v>423</v>
      </c>
      <c r="H55" s="304"/>
      <c r="I55" s="17"/>
      <c r="J55" s="304"/>
      <c r="K55" s="22"/>
      <c r="L55" s="304"/>
      <c r="M55" s="17"/>
      <c r="O55" s="235"/>
    </row>
    <row r="56" spans="3:15" ht="15.75" customHeight="1">
      <c r="C56" s="6" t="s">
        <v>487</v>
      </c>
      <c r="H56" s="304">
        <f>IF(VLOOKUP(GAS!N56,'GAS ASCII'!$B$2:$C$210,2)&gt;=500000,VLOOKUP(GAS!N56,'GAS ASCII'!$B$2:$C$210,2)/1000000,IF(VLOOKUP(GAS!N56,'GAS ASCII'!$B$2:$C$210,2)&lt;=0,"……………….","*"))</f>
        <v>9.9</v>
      </c>
      <c r="I56" s="17"/>
      <c r="J56" s="304">
        <f>IF(VLOOKUP(GAS!N56,'GAS ASCII'!$B$2:$D$210,3)&gt;=500000,VLOOKUP(GAS!N56,'GAS ASCII'!$B$2:$D$210,3)/-1000000,IF(VLOOKUP(GAS!N56,'GAS ASCII'!$B$2:$D$210,3)&lt;=0,0,"*"))</f>
        <v>0</v>
      </c>
      <c r="K56" s="22"/>
      <c r="L56" s="304">
        <f>IF(VLOOKUP(GAS!N56,'GAS ASCII'!$B$2:$E$210,4)&gt;=500000,VLOOKUP(GAS!N56,'GAS ASCII'!$B$2:$E$210,4)/1000000,IF(VLOOKUP(GAS!N56,'GAS ASCII'!$B$2:$E$210,4)&lt;=0,"……………….","*"))</f>
        <v>9.9</v>
      </c>
      <c r="M56" s="17"/>
      <c r="N56" t="s">
        <v>337</v>
      </c>
      <c r="O56" s="235"/>
    </row>
    <row r="57" spans="3:15" ht="15.75" customHeight="1">
      <c r="C57" s="6" t="s">
        <v>1103</v>
      </c>
      <c r="H57" s="304">
        <f>IF(VLOOKUP(GAS!N57,'GAS ASCII'!$B$2:$C$210,2)&gt;=500000,VLOOKUP(GAS!N57,'GAS ASCII'!$B$2:$C$210,2)/1000000,IF(VLOOKUP(GAS!N57,'GAS ASCII'!$B$2:$C$210,2)&lt;=0,"……………….","*"))</f>
        <v>4.005</v>
      </c>
      <c r="I57" s="17"/>
      <c r="J57" s="304">
        <f>IF(VLOOKUP(GAS!N57,'GAS ASCII'!$B$2:$D$210,3)&gt;=500000,VLOOKUP(GAS!N57,'GAS ASCII'!$B$2:$D$210,3)/-1000000,IF(VLOOKUP(GAS!N57,'GAS ASCII'!$B$2:$D$210,3)&lt;=0,0,"*"))</f>
        <v>0</v>
      </c>
      <c r="K57" s="22"/>
      <c r="L57" s="304">
        <f>IF(VLOOKUP(GAS!N57,'GAS ASCII'!$B$2:$E$210,4)&gt;=500000,VLOOKUP(GAS!N57,'GAS ASCII'!$B$2:$E$210,4)/1000000,IF(VLOOKUP(GAS!N57,'GAS ASCII'!$B$2:$E$210,4)&lt;=0,"……………….","*"))</f>
        <v>4.005</v>
      </c>
      <c r="M57" s="17"/>
      <c r="N57" t="s">
        <v>484</v>
      </c>
      <c r="O57" s="235"/>
    </row>
    <row r="58" spans="3:15" ht="15.75" customHeight="1">
      <c r="C58" s="6" t="s">
        <v>735</v>
      </c>
      <c r="H58" s="304" t="str">
        <f>IF(VLOOKUP(GAS!N58,'GAS ASCII'!$B$2:$C$210,2)&gt;=500000,VLOOKUP(GAS!N58,'GAS ASCII'!$B$2:$C$210,2)/1000000,IF(VLOOKUP(GAS!N58,'GAS ASCII'!$B$2:$C$210,2)&lt;=0,"……………….","*"))</f>
        <v>*</v>
      </c>
      <c r="I58" s="17"/>
      <c r="J58" s="304">
        <f>IF(VLOOKUP(GAS!N58,'GAS ASCII'!$B$2:$D$210,3)&gt;=500000,VLOOKUP(GAS!N58,'GAS ASCII'!$B$2:$D$210,3)/-1000000,IF(VLOOKUP(GAS!N58,'GAS ASCII'!$B$2:$D$210,3)&lt;=0,0,"*"))</f>
        <v>0</v>
      </c>
      <c r="K58" s="22"/>
      <c r="L58" s="304" t="str">
        <f>IF(VLOOKUP(GAS!N58,'GAS ASCII'!$B$2:$E$210,4)&gt;=500000,VLOOKUP(GAS!N58,'GAS ASCII'!$B$2:$E$210,4)/1000000,IF(VLOOKUP(GAS!N58,'GAS ASCII'!$B$2:$E$210,4)&lt;=0,"……………….","*"))</f>
        <v>*</v>
      </c>
      <c r="M58" s="17"/>
      <c r="N58" t="s">
        <v>455</v>
      </c>
      <c r="O58" s="235"/>
    </row>
    <row r="59" spans="3:15" ht="15.75" customHeight="1">
      <c r="C59" s="6" t="s">
        <v>426</v>
      </c>
      <c r="H59" s="304">
        <f>IF(VLOOKUP(GAS!N59,'GAS ASCII'!$B$2:$C$210,2)&gt;=500000,VLOOKUP(GAS!N59,'GAS ASCII'!$B$2:$C$210,2)/1000000,IF(VLOOKUP(GAS!N59,'GAS ASCII'!$B$2:$C$210,2)&lt;=0,"……………….","*"))</f>
        <v>10.154</v>
      </c>
      <c r="I59" s="17"/>
      <c r="J59" s="304">
        <f>IF(VLOOKUP(GAS!N59,'GAS ASCII'!$B$2:$D$210,3)&gt;=500000,VLOOKUP(GAS!N59,'GAS ASCII'!$B$2:$D$210,3)/-1000000,IF(VLOOKUP(GAS!N59,'GAS ASCII'!$B$2:$D$210,3)&lt;=0,0,"*"))</f>
        <v>0</v>
      </c>
      <c r="K59" s="22"/>
      <c r="L59" s="304">
        <f>IF(VLOOKUP(GAS!N59,'GAS ASCII'!$B$2:$E$210,4)&gt;=500000,VLOOKUP(GAS!N59,'GAS ASCII'!$B$2:$E$210,4)/1000000,IF(VLOOKUP(GAS!N59,'GAS ASCII'!$B$2:$E$210,4)&lt;=0,"……………….","*"))</f>
        <v>10.154</v>
      </c>
      <c r="M59" s="17"/>
      <c r="N59" t="s">
        <v>340</v>
      </c>
      <c r="O59" s="235"/>
    </row>
    <row r="60" spans="3:15" ht="30.75" customHeight="1">
      <c r="C60" s="6" t="s">
        <v>553</v>
      </c>
      <c r="H60" s="304">
        <f>IF(VLOOKUP(GAS!N60,'GAS ASCII'!$B$2:$C$210,2)&gt;=500000,VLOOKUP(GAS!N60,'GAS ASCII'!$B$2:$C$210,2)/1000000,IF(VLOOKUP(GAS!N60,'GAS ASCII'!$B$2:$C$210,2)&lt;=0,"……………….","*"))</f>
        <v>5.742388490000001</v>
      </c>
      <c r="I60" s="17"/>
      <c r="J60" s="304">
        <f>IF(VLOOKUP(GAS!N60,'GAS ASCII'!$B$2:$D$210,3)&gt;=500000,VLOOKUP(GAS!N60,'GAS ASCII'!$B$2:$D$210,3)/-1000000,IF(VLOOKUP(GAS!N60,'GAS ASCII'!$B$2:$D$210,3)&lt;=0,0,"*"))</f>
        <v>0</v>
      </c>
      <c r="K60" s="17"/>
      <c r="L60" s="304">
        <f>IF(VLOOKUP(GAS!N60,'GAS ASCII'!$B$2:$E$210,4)&gt;=500000,VLOOKUP(GAS!N60,'GAS ASCII'!$B$2:$E$210,4)/1000000,IF(VLOOKUP(GAS!N60,'GAS ASCII'!$B$2:$E$210,4)&lt;=0,"……………….","*"))</f>
        <v>5.742388490000001</v>
      </c>
      <c r="M60" s="17"/>
      <c r="N60" t="s">
        <v>921</v>
      </c>
      <c r="O60" s="235"/>
    </row>
    <row r="61" spans="3:15" ht="15.75" customHeight="1">
      <c r="C61" s="6" t="s">
        <v>155</v>
      </c>
      <c r="H61" s="304">
        <f>IF(VLOOKUP(GAS!N61,'GAS ASCII'!$B$2:$C$210,2)&gt;=500000,VLOOKUP(GAS!N61,'GAS ASCII'!$B$2:$C$210,2)/1000000,IF(VLOOKUP(GAS!N61,'GAS ASCII'!$B$2:$C$210,2)&lt;=0,"……………….","*"))</f>
        <v>978.4595562000001</v>
      </c>
      <c r="I61" s="301"/>
      <c r="J61" s="304">
        <f>IF(VLOOKUP(GAS!N61,'GAS ASCII'!$B$2:$D$210,3)&gt;=500000,VLOOKUP(GAS!N61,'GAS ASCII'!$B$2:$D$210,3)/-1000000,IF(VLOOKUP(GAS!N61,'GAS ASCII'!$B$2:$D$210,3)&lt;=0,0,"*"))</f>
        <v>0</v>
      </c>
      <c r="K61" s="22"/>
      <c r="L61" s="304">
        <f>IF(VLOOKUP(GAS!N61,'GAS ASCII'!$B$2:$E$210,4)&gt;=500000,VLOOKUP(GAS!N61,'GAS ASCII'!$B$2:$E$210,4)/1000000,IF(VLOOKUP(GAS!N61,'GAS ASCII'!$B$2:$E$210,4)&lt;=0,"……………….","*"))</f>
        <v>978.4595562000001</v>
      </c>
      <c r="M61" s="17"/>
      <c r="N61" t="s">
        <v>342</v>
      </c>
      <c r="O61" s="235"/>
    </row>
    <row r="62" spans="3:15" ht="15.75" customHeight="1">
      <c r="C62" s="6" t="s">
        <v>552</v>
      </c>
      <c r="H62" s="304">
        <f>IF(VLOOKUP(GAS!N62,'GAS ASCII'!$B$2:$C$210,2)&gt;=500000,VLOOKUP(GAS!N62,'GAS ASCII'!$B$2:$C$210,2)/1000000,IF(VLOOKUP(GAS!N62,'GAS ASCII'!$B$2:$C$210,2)&lt;=0,"……………….","*"))</f>
        <v>50901.77120476</v>
      </c>
      <c r="I62" s="301"/>
      <c r="J62" s="304">
        <f>IF(VLOOKUP(GAS!N62,'GAS ASCII'!$B$2:$D$210,3)&gt;=500000,VLOOKUP(GAS!N62,'GAS ASCII'!$B$2:$D$210,3)/-1000000,IF(VLOOKUP(GAS!N62,'GAS ASCII'!$B$2:$D$210,3)&lt;=0,0,"*"))</f>
        <v>0</v>
      </c>
      <c r="K62" s="22"/>
      <c r="L62" s="304">
        <f>IF(VLOOKUP(GAS!N62,'GAS ASCII'!$B$2:$E$210,4)&gt;=500000,VLOOKUP(GAS!N62,'GAS ASCII'!$B$2:$E$210,4)/1000000,IF(VLOOKUP(GAS!N62,'GAS ASCII'!$B$2:$E$210,4)&lt;=0,"……………….","*"))</f>
        <v>50901.77120476</v>
      </c>
      <c r="M62" s="17"/>
      <c r="N62" t="s">
        <v>344</v>
      </c>
      <c r="O62" s="235"/>
    </row>
    <row r="63" spans="3:15" ht="15.75" customHeight="1">
      <c r="C63" s="6" t="s">
        <v>325</v>
      </c>
      <c r="H63" s="304">
        <f>IF(VLOOKUP(GAS!N63,'GAS ASCII'!$B$2:$C$210,2)&gt;=500000,VLOOKUP(GAS!N63,'GAS ASCII'!$B$2:$C$210,2)/1000000,IF(VLOOKUP(GAS!N63,'GAS ASCII'!$B$2:$C$210,2)&lt;=0,"……………….","*"))</f>
        <v>185528.34248073</v>
      </c>
      <c r="I63" s="301"/>
      <c r="J63" s="304">
        <f>IF(VLOOKUP(GAS!N63,'GAS ASCII'!$B$2:$D$210,3)&gt;=500000,VLOOKUP(GAS!N63,'GAS ASCII'!$B$2:$D$210,3)/-1000000,IF(VLOOKUP(GAS!N63,'GAS ASCII'!$B$2:$D$210,3)&lt;=0,0,"*"))</f>
        <v>-4822.715</v>
      </c>
      <c r="K63" s="17"/>
      <c r="L63" s="304">
        <f>IF(VLOOKUP(GAS!N63,'GAS ASCII'!$B$2:$E$210,4)&gt;=500000,VLOOKUP(GAS!N63,'GAS ASCII'!$B$2:$E$210,4)/1000000,IF(VLOOKUP(GAS!N63,'GAS ASCII'!$B$2:$E$210,4)&lt;=0,"……………….","*"))</f>
        <v>180705.62748073</v>
      </c>
      <c r="M63" s="17"/>
      <c r="N63" t="s">
        <v>346</v>
      </c>
      <c r="O63" s="235"/>
    </row>
    <row r="64" spans="3:15" ht="15.75" customHeight="1">
      <c r="C64" s="6" t="s">
        <v>326</v>
      </c>
      <c r="H64" s="304">
        <f>IF(VLOOKUP(GAS!N64,'GAS ASCII'!$B$2:$C$210,2)&gt;=500000,VLOOKUP(GAS!N64,'GAS ASCII'!$B$2:$C$210,2)/1000000,IF(VLOOKUP(GAS!N64,'GAS ASCII'!$B$2:$C$210,2)&lt;=0,"……………….","*"))</f>
        <v>0.71</v>
      </c>
      <c r="I64" s="17"/>
      <c r="J64" s="304">
        <f>IF(VLOOKUP(GAS!N64,'GAS ASCII'!$B$2:$D$210,3)&gt;=500000,VLOOKUP(GAS!N64,'GAS ASCII'!$B$2:$D$210,3)/-1000000,IF(VLOOKUP(GAS!N64,'GAS ASCII'!$B$2:$D$210,3)&lt;=0,0,"*"))</f>
        <v>0</v>
      </c>
      <c r="K64" s="2"/>
      <c r="L64" s="304">
        <f>IF(VLOOKUP(GAS!N64,'GAS ASCII'!$B$2:$E$210,4)&gt;=500000,VLOOKUP(GAS!N64,'GAS ASCII'!$B$2:$E$210,4)/1000000,IF(VLOOKUP(GAS!N64,'GAS ASCII'!$B$2:$E$210,4)&lt;=0,"……………….","*"))</f>
        <v>0.71</v>
      </c>
      <c r="M64" s="17"/>
      <c r="N64" t="s">
        <v>852</v>
      </c>
      <c r="O64" s="235"/>
    </row>
    <row r="65" spans="3:15" ht="15.75" customHeight="1">
      <c r="C65" s="6" t="s">
        <v>883</v>
      </c>
      <c r="H65" s="304">
        <f>IF(VLOOKUP(GAS!N65,'GAS ASCII'!$B$2:$C$210,2)&gt;=500000,VLOOKUP(GAS!N65,'GAS ASCII'!$B$2:$C$210,2)/1000000,IF(VLOOKUP(GAS!N65,'GAS ASCII'!$B$2:$C$210,2)&lt;=0,"……………….","*"))</f>
        <v>3.528</v>
      </c>
      <c r="I65" s="17"/>
      <c r="J65" s="304">
        <f>IF(VLOOKUP(GAS!N65,'GAS ASCII'!$B$2:$D$210,3)&gt;=500000,VLOOKUP(GAS!N65,'GAS ASCII'!$B$2:$D$210,3)/-1000000,IF(VLOOKUP(GAS!N65,'GAS ASCII'!$B$2:$D$210,3)&lt;=0,0,"*"))</f>
        <v>0</v>
      </c>
      <c r="K65" s="22"/>
      <c r="L65" s="304">
        <f>IF(VLOOKUP(GAS!N65,'GAS ASCII'!$B$2:$E$210,4)&gt;=500000,VLOOKUP(GAS!N65,'GAS ASCII'!$B$2:$E$210,4)/1000000,IF(VLOOKUP(GAS!N65,'GAS ASCII'!$B$2:$E$210,4)&lt;=0,"……………….","*"))</f>
        <v>3.528</v>
      </c>
      <c r="M65" s="17"/>
      <c r="N65" t="s">
        <v>854</v>
      </c>
      <c r="O65" s="235"/>
    </row>
    <row r="66" spans="3:15" ht="15.75" customHeight="1">
      <c r="C66" s="6" t="s">
        <v>884</v>
      </c>
      <c r="H66" s="304">
        <f>IF(VLOOKUP(GAS!N66,'GAS ASCII'!$B$2:$C$210,2)&gt;=500000,VLOOKUP(GAS!N66,'GAS ASCII'!$B$2:$C$210,2)/1000000,IF(VLOOKUP(GAS!N66,'GAS ASCII'!$B$2:$C$210,2)&lt;=0,"……………….","*"))</f>
        <v>2.435</v>
      </c>
      <c r="I66" s="17"/>
      <c r="J66" s="304">
        <f>IF(VLOOKUP(GAS!N66,'GAS ASCII'!$B$2:$D$210,3)&gt;=500000,VLOOKUP(GAS!N66,'GAS ASCII'!$B$2:$D$210,3)/-1000000,IF(VLOOKUP(GAS!N66,'GAS ASCII'!$B$2:$D$210,3)&lt;=0,0,"*"))</f>
        <v>0</v>
      </c>
      <c r="K66" s="22"/>
      <c r="L66" s="304">
        <f>IF(VLOOKUP(GAS!N66,'GAS ASCII'!$B$2:$E$210,4)&gt;=500000,VLOOKUP(GAS!N66,'GAS ASCII'!$B$2:$E$210,4)/1000000,IF(VLOOKUP(GAS!N66,'GAS ASCII'!$B$2:$E$210,4)&lt;=0,"……………….","*"))</f>
        <v>2.435</v>
      </c>
      <c r="M66" s="85"/>
      <c r="N66" t="s">
        <v>856</v>
      </c>
      <c r="O66" s="235"/>
    </row>
    <row r="67" spans="3:15" ht="15.75" customHeight="1">
      <c r="C67" s="6" t="s">
        <v>885</v>
      </c>
      <c r="H67" s="304">
        <f>IF(VLOOKUP(GAS!N67,'GAS ASCII'!$B$2:$C$210,2)&gt;=500000,VLOOKUP(GAS!N67,'GAS ASCII'!$B$2:$C$210,2)/1000000,IF(VLOOKUP(GAS!N67,'GAS ASCII'!$B$2:$C$210,2)&lt;=0,"……………….","*"))</f>
        <v>98.49123689</v>
      </c>
      <c r="I67" s="17"/>
      <c r="J67" s="304">
        <f>IF(VLOOKUP(GAS!N67,'GAS ASCII'!$B$2:$D$210,3)&gt;=500000,VLOOKUP(GAS!N67,'GAS ASCII'!$B$2:$D$210,3)/-1000000,IF(VLOOKUP(GAS!N67,'GAS ASCII'!$B$2:$D$210,3)&lt;=0,0,"*"))</f>
        <v>0</v>
      </c>
      <c r="K67" s="22"/>
      <c r="L67" s="304">
        <f>IF(VLOOKUP(GAS!N67,'GAS ASCII'!$B$2:$E$210,4)&gt;=500000,VLOOKUP(GAS!N67,'GAS ASCII'!$B$2:$E$210,4)/1000000,IF(VLOOKUP(GAS!N67,'GAS ASCII'!$B$2:$E$210,4)&lt;=0,"……………….","*"))</f>
        <v>98.49123689</v>
      </c>
      <c r="M67" s="17"/>
      <c r="N67" t="s">
        <v>857</v>
      </c>
      <c r="O67" s="235"/>
    </row>
    <row r="68" spans="3:15" ht="15.75" customHeight="1">
      <c r="C68" s="6" t="s">
        <v>4</v>
      </c>
      <c r="H68" s="304">
        <f>IF(VLOOKUP(GAS!N68,'GAS ASCII'!$B$2:$C$210,2)&gt;=500000,VLOOKUP(GAS!N68,'GAS ASCII'!$B$2:$C$210,2)/1000000,IF(VLOOKUP(GAS!N68,'GAS ASCII'!$B$2:$C$210,2)&lt;=0,"……………….","*"))</f>
        <v>3432.1947135100004</v>
      </c>
      <c r="I68" s="17"/>
      <c r="J68" s="304">
        <f>IF(VLOOKUP(GAS!N68,'GAS ASCII'!$B$2:$D$210,3)&gt;=500000,VLOOKUP(GAS!N68,'GAS ASCII'!$B$2:$D$210,3)/-1000000,IF(VLOOKUP(GAS!N68,'GAS ASCII'!$B$2:$D$210,3)&lt;=0,0,"*"))</f>
        <v>0</v>
      </c>
      <c r="K68" s="22"/>
      <c r="L68" s="304">
        <f>IF(VLOOKUP(GAS!N68,'GAS ASCII'!$B$2:$E$210,4)&gt;=500000,VLOOKUP(GAS!N68,'GAS ASCII'!$B$2:$E$210,4)/1000000,IF(VLOOKUP(GAS!N68,'GAS ASCII'!$B$2:$E$210,4)&lt;=0,"……………….","*"))</f>
        <v>3432.1947135100004</v>
      </c>
      <c r="M68" s="17"/>
      <c r="N68" t="s">
        <v>934</v>
      </c>
      <c r="O68" s="235"/>
    </row>
    <row r="69" spans="3:15" ht="33" customHeight="1">
      <c r="C69" s="6" t="s">
        <v>421</v>
      </c>
      <c r="H69" s="304">
        <f>IF(VLOOKUP(GAS!N69,'GAS ASCII'!$B$2:$C$210,2)&gt;=500000,VLOOKUP(GAS!N69,'GAS ASCII'!$B$2:$C$210,2)/1000000,IF(VLOOKUP(GAS!N69,'GAS ASCII'!$B$2:$C$210,2)&lt;=0,"……………….","*"))</f>
        <v>7.497</v>
      </c>
      <c r="I69" s="17"/>
      <c r="J69" s="304">
        <f>IF(VLOOKUP(GAS!N69,'GAS ASCII'!$B$2:$D$210,3)&gt;=500000,VLOOKUP(GAS!N69,'GAS ASCII'!$B$2:$D$210,3)/-1000000,IF(VLOOKUP(GAS!N69,'GAS ASCII'!$B$2:$D$210,3)&lt;=0,0,"*"))</f>
        <v>0</v>
      </c>
      <c r="K69" s="17"/>
      <c r="L69" s="304">
        <f>IF(VLOOKUP(GAS!N69,'GAS ASCII'!$B$2:$E$210,4)&gt;=500000,VLOOKUP(GAS!N69,'GAS ASCII'!$B$2:$E$210,4)/1000000,IF(VLOOKUP(GAS!N69,'GAS ASCII'!$B$2:$E$210,4)&lt;=0,"……………….","*"))</f>
        <v>7.497</v>
      </c>
      <c r="M69" s="17"/>
      <c r="N69" t="s">
        <v>349</v>
      </c>
      <c r="O69" s="235"/>
    </row>
    <row r="70" spans="3:15" ht="15.75" customHeight="1">
      <c r="C70" s="6" t="s">
        <v>163</v>
      </c>
      <c r="H70" s="304">
        <f>IF(VLOOKUP(GAS!N70,'GAS ASCII'!$B$2:$C$210,2)&gt;=500000,VLOOKUP(GAS!N70,'GAS ASCII'!$B$2:$C$210,2)/1000000,IF(VLOOKUP(GAS!N70,'GAS ASCII'!$B$2:$C$210,2)&lt;=0,"……………….","*"))</f>
        <v>12900.69</v>
      </c>
      <c r="I70" s="17"/>
      <c r="J70" s="304">
        <f>IF(VLOOKUP(GAS!N70,'GAS ASCII'!$B$2:$D$210,3)&gt;=500000,VLOOKUP(GAS!N70,'GAS ASCII'!$B$2:$D$210,3)/-1000000,IF(VLOOKUP(GAS!N70,'GAS ASCII'!$B$2:$D$210,3)&lt;=0,0,"*"))</f>
        <v>-954</v>
      </c>
      <c r="K70" s="17"/>
      <c r="L70" s="304">
        <f>IF(VLOOKUP(GAS!N70,'GAS ASCII'!$B$2:$E$210,4)&gt;=500000,VLOOKUP(GAS!N70,'GAS ASCII'!$B$2:$E$210,4)/1000000,IF(VLOOKUP(GAS!N70,'GAS ASCII'!$B$2:$E$210,4)&lt;=0,"……………….","*"))</f>
        <v>11946.69</v>
      </c>
      <c r="M70" s="17"/>
      <c r="N70" t="s">
        <v>351</v>
      </c>
      <c r="O70" s="235"/>
    </row>
    <row r="71" spans="3:15" ht="15.75" customHeight="1">
      <c r="C71" s="6" t="s">
        <v>836</v>
      </c>
      <c r="H71" s="304">
        <f>IF(VLOOKUP(GAS!N71,'GAS ASCII'!$B$2:$C$210,2)&gt;=500000,VLOOKUP(GAS!N71,'GAS ASCII'!$B$2:$C$210,2)/1000000,IF(VLOOKUP(GAS!N71,'GAS ASCII'!$B$2:$C$210,2)&lt;=0,"……………….","*"))</f>
        <v>29125.366</v>
      </c>
      <c r="I71" s="17"/>
      <c r="J71" s="304">
        <f>IF(VLOOKUP(GAS!N71,'GAS ASCII'!$B$2:$D$210,3)&gt;=500000,VLOOKUP(GAS!N71,'GAS ASCII'!$B$2:$D$210,3)/-1000000,IF(VLOOKUP(GAS!N71,'GAS ASCII'!$B$2:$D$210,3)&lt;=0,0,"*"))</f>
        <v>0</v>
      </c>
      <c r="K71" s="22"/>
      <c r="L71" s="304">
        <f>IF(VLOOKUP(GAS!N71,'GAS ASCII'!$B$2:$E$210,4)&gt;=500000,VLOOKUP(GAS!N71,'GAS ASCII'!$B$2:$E$210,4)/1000000,IF(VLOOKUP(GAS!N71,'GAS ASCII'!$B$2:$E$210,4)&lt;=0,"……………….","*"))</f>
        <v>29125.366</v>
      </c>
      <c r="M71" s="17"/>
      <c r="N71" t="s">
        <v>353</v>
      </c>
      <c r="O71" s="235"/>
    </row>
    <row r="72" spans="3:15" ht="15.75" customHeight="1">
      <c r="C72" s="6" t="s">
        <v>596</v>
      </c>
      <c r="H72" s="304">
        <f>IF(VLOOKUP(GAS!N72,'GAS ASCII'!$B$2:$C$210,2)&gt;=500000,VLOOKUP(GAS!N72,'GAS ASCII'!$B$2:$C$210,2)/1000000,IF(VLOOKUP(GAS!N72,'GAS ASCII'!$B$2:$C$210,2)&lt;=0,"……………….","*"))</f>
        <v>0.571</v>
      </c>
      <c r="I72" s="17"/>
      <c r="J72" s="304">
        <f>IF(VLOOKUP(GAS!N72,'GAS ASCII'!$B$2:$D$210,3)&gt;=500000,VLOOKUP(GAS!N72,'GAS ASCII'!$B$2:$D$210,3)/-1000000,IF(VLOOKUP(GAS!N72,'GAS ASCII'!$B$2:$D$210,3)&lt;=0,0,"*"))</f>
        <v>0</v>
      </c>
      <c r="K72" s="22"/>
      <c r="L72" s="304">
        <f>IF(VLOOKUP(GAS!N72,'GAS ASCII'!$B$2:$E$210,4)&gt;=500000,VLOOKUP(GAS!N72,'GAS ASCII'!$B$2:$E$210,4)/1000000,IF(VLOOKUP(GAS!N72,'GAS ASCII'!$B$2:$E$210,4)&lt;=0,"……………….","*"))</f>
        <v>0.571</v>
      </c>
      <c r="M72" s="17"/>
      <c r="N72" t="s">
        <v>355</v>
      </c>
      <c r="O72" s="235"/>
    </row>
    <row r="73" spans="3:15" ht="15.75" customHeight="1">
      <c r="C73" s="6" t="s">
        <v>471</v>
      </c>
      <c r="H73" s="304">
        <f>IF(VLOOKUP(GAS!N73,'GAS ASCII'!$B$2:$C$210,2)&gt;=500000,VLOOKUP(GAS!N73,'GAS ASCII'!$B$2:$C$210,2)/1000000,IF(VLOOKUP(GAS!N73,'GAS ASCII'!$B$2:$C$210,2)&lt;=0,"……………….","*"))</f>
        <v>42.974</v>
      </c>
      <c r="I73" s="17"/>
      <c r="J73" s="304">
        <f>IF(VLOOKUP(GAS!N73,'GAS ASCII'!$B$2:$D$210,3)&gt;=500000,VLOOKUP(GAS!N73,'GAS ASCII'!$B$2:$D$210,3)/-1000000,IF(VLOOKUP(GAS!N73,'GAS ASCII'!$B$2:$D$210,3)&lt;=0,0,"*"))</f>
        <v>0</v>
      </c>
      <c r="K73" s="22"/>
      <c r="L73" s="304">
        <f>IF(VLOOKUP(GAS!N73,'GAS ASCII'!$B$2:$E$210,4)&gt;=500000,VLOOKUP(GAS!N73,'GAS ASCII'!$B$2:$E$210,4)/1000000,IF(VLOOKUP(GAS!N73,'GAS ASCII'!$B$2:$E$210,4)&lt;=0,"……………….","*"))</f>
        <v>42.974</v>
      </c>
      <c r="M73" s="17"/>
      <c r="N73" t="s">
        <v>494</v>
      </c>
      <c r="O73" s="235"/>
    </row>
    <row r="74" spans="3:15" ht="15.75" customHeight="1">
      <c r="C74" s="6" t="s">
        <v>347</v>
      </c>
      <c r="H74" s="304">
        <f>IF(VLOOKUP(GAS!N74,'GAS ASCII'!$B$2:$C$210,2)&gt;=500000,VLOOKUP(GAS!N74,'GAS ASCII'!$B$2:$C$210,2)/1000000,IF(VLOOKUP(GAS!N74,'GAS ASCII'!$B$2:$C$210,2)&lt;=0,"……………….","*"))</f>
        <v>994.172</v>
      </c>
      <c r="I74" s="17"/>
      <c r="J74" s="304">
        <f>IF(VLOOKUP(GAS!N74,'GAS ASCII'!$B$2:$D$210,3)&gt;=500000,VLOOKUP(GAS!N74,'GAS ASCII'!$B$2:$D$210,3)/-1000000,IF(VLOOKUP(GAS!N74,'GAS ASCII'!$B$2:$D$210,3)&lt;=0,0,"*"))</f>
        <v>0</v>
      </c>
      <c r="K74" s="22"/>
      <c r="L74" s="304">
        <f>IF(VLOOKUP(GAS!N74,'GAS ASCII'!$B$2:$E$210,4)&gt;=500000,VLOOKUP(GAS!N74,'GAS ASCII'!$B$2:$E$210,4)/1000000,IF(VLOOKUP(GAS!N74,'GAS ASCII'!$B$2:$E$210,4)&lt;=0,"……………….","*"))</f>
        <v>994.172</v>
      </c>
      <c r="M74" s="17"/>
      <c r="N74" t="s">
        <v>473</v>
      </c>
      <c r="O74" s="235"/>
    </row>
    <row r="75" spans="3:15" ht="15.75" customHeight="1">
      <c r="C75" s="6" t="s">
        <v>436</v>
      </c>
      <c r="H75" s="304" t="str">
        <f>IF(VLOOKUP(GAS!N75,'GAS ASCII'!$B$2:$C$210,2)&gt;=500000,VLOOKUP(GAS!N75,'GAS ASCII'!$B$2:$C$210,2)/1000000,IF(VLOOKUP(GAS!N75,'GAS ASCII'!$B$2:$C$210,2)&lt;=0,"……………….","*"))</f>
        <v>*</v>
      </c>
      <c r="I75" s="17"/>
      <c r="J75" s="304">
        <f>IF(VLOOKUP(GAS!N75,'GAS ASCII'!$B$2:$D$210,3)&gt;=500000,VLOOKUP(GAS!N75,'GAS ASCII'!$B$2:$D$210,3)/-1000000,IF(VLOOKUP(GAS!N75,'GAS ASCII'!$B$2:$D$210,3)&lt;=0,0,"*"))</f>
        <v>0</v>
      </c>
      <c r="K75" s="22"/>
      <c r="L75" s="304" t="str">
        <f>IF(VLOOKUP(GAS!N75,'GAS ASCII'!$B$2:$E$210,4)&gt;=500000,VLOOKUP(GAS!N75,'GAS ASCII'!$B$2:$E$210,4)/1000000,IF(VLOOKUP(GAS!N75,'GAS ASCII'!$B$2:$E$210,4)&lt;=0,"……………….","*"))</f>
        <v>*</v>
      </c>
      <c r="M75" s="17"/>
      <c r="N75" t="s">
        <v>120</v>
      </c>
      <c r="O75" s="235"/>
    </row>
    <row r="76" spans="1:15" ht="15.75" customHeight="1" thickBot="1">
      <c r="A76" s="77"/>
      <c r="B76" s="77"/>
      <c r="C76" s="79"/>
      <c r="D76" s="77"/>
      <c r="E76" s="77"/>
      <c r="F76" s="77"/>
      <c r="G76" s="77"/>
      <c r="H76" s="366"/>
      <c r="I76" s="80"/>
      <c r="J76" s="366"/>
      <c r="K76" s="81"/>
      <c r="L76" s="366"/>
      <c r="M76" s="80"/>
      <c r="O76" s="235"/>
    </row>
    <row r="77" spans="1:13" s="367" customFormat="1" ht="27.75" customHeight="1" thickBot="1" thickTop="1">
      <c r="A77" s="407">
        <v>8</v>
      </c>
      <c r="B77" s="369" t="str">
        <f>(Marketable!B83)</f>
        <v>TABLE III - DETAIL OF TREASURY SECURITIES OUTSTANDING, JUNE 30, 2005 -- Continued</v>
      </c>
      <c r="C77" s="369"/>
      <c r="D77" s="369"/>
      <c r="E77" s="370"/>
      <c r="F77" s="370"/>
      <c r="G77" s="370"/>
      <c r="H77" s="370"/>
      <c r="I77" s="372"/>
      <c r="J77" s="370"/>
      <c r="K77" s="370"/>
      <c r="L77" s="370"/>
      <c r="M77" s="369"/>
    </row>
    <row r="78" spans="8:13" ht="30.75" customHeight="1" thickTop="1">
      <c r="H78" s="12" t="s">
        <v>101</v>
      </c>
      <c r="I78" s="2"/>
      <c r="J78" s="2"/>
      <c r="K78" s="2"/>
      <c r="L78" s="2"/>
      <c r="M78" s="2"/>
    </row>
    <row r="79" spans="1:13" ht="15.75" customHeight="1">
      <c r="A79" s="2" t="s">
        <v>102</v>
      </c>
      <c r="B79" s="2"/>
      <c r="C79" s="2"/>
      <c r="D79" s="2"/>
      <c r="E79" s="2"/>
      <c r="F79" s="2"/>
      <c r="G79" s="2"/>
      <c r="H79" s="12" t="s">
        <v>62</v>
      </c>
      <c r="I79" s="2"/>
      <c r="J79" s="2"/>
      <c r="K79" s="2"/>
      <c r="L79" s="2"/>
      <c r="M79" s="2"/>
    </row>
    <row r="80" spans="1:13" ht="16.5" customHeight="1">
      <c r="A80" s="11"/>
      <c r="B80" s="11"/>
      <c r="C80" s="11"/>
      <c r="D80" s="11"/>
      <c r="E80" s="11"/>
      <c r="F80" s="11"/>
      <c r="G80" s="11"/>
      <c r="H80" s="29" t="s">
        <v>106</v>
      </c>
      <c r="I80" s="30"/>
      <c r="J80" s="29" t="s">
        <v>83</v>
      </c>
      <c r="K80" s="30"/>
      <c r="L80" s="29" t="s">
        <v>65</v>
      </c>
      <c r="M80" s="30"/>
    </row>
    <row r="81" spans="2:12" ht="33.75" customHeight="1">
      <c r="B81" s="4" t="s">
        <v>214</v>
      </c>
      <c r="E81" s="35"/>
      <c r="H81" s="10"/>
      <c r="J81" s="10"/>
      <c r="L81" s="10"/>
    </row>
    <row r="82" spans="2:15" ht="18" customHeight="1">
      <c r="B82" s="64" t="s">
        <v>477</v>
      </c>
      <c r="E82" s="35"/>
      <c r="H82" s="10"/>
      <c r="J82" s="10"/>
      <c r="L82" s="10"/>
      <c r="O82" s="235"/>
    </row>
    <row r="83" spans="3:15" ht="15.75" customHeight="1">
      <c r="C83" s="6" t="s">
        <v>383</v>
      </c>
      <c r="H83" s="304">
        <f>IF(VLOOKUP(GAS!N83,'GAS ASCII'!$B$2:$C$210,2)&gt;=500000,VLOOKUP(GAS!N83,'GAS ASCII'!$B$2:$C$210,2)/1000000,IF(VLOOKUP(GAS!N83,'GAS ASCII'!$B$2:$C$210,2)&lt;=0,"……………….","*"))</f>
        <v>12103.82235347</v>
      </c>
      <c r="I83" s="17"/>
      <c r="J83" s="304">
        <f>IF(VLOOKUP(GAS!N83,'GAS ASCII'!$B$2:$D$210,3)&gt;=500000,VLOOKUP(GAS!N83,'GAS ASCII'!$B$2:$D$210,3)/-1000000,IF(VLOOKUP(GAS!N83,'GAS ASCII'!$B$2:$D$210,3)&lt;=0,0,"*"))</f>
        <v>0</v>
      </c>
      <c r="K83" s="22"/>
      <c r="L83" s="304">
        <f>IF(VLOOKUP(GAS!N83,'GAS ASCII'!$B$2:$E$210,4)&gt;=500000,VLOOKUP(GAS!N83,'GAS ASCII'!$B$2:$E$210,4)/1000000,IF(VLOOKUP(GAS!N83,'GAS ASCII'!$B$2:$E$210,4)&lt;=0,"……………….","*"))</f>
        <v>12103.82235347</v>
      </c>
      <c r="M83" s="17"/>
      <c r="N83" t="s">
        <v>1005</v>
      </c>
      <c r="O83" s="235"/>
    </row>
    <row r="84" spans="3:15" ht="15.75" customHeight="1">
      <c r="C84" s="6" t="s">
        <v>597</v>
      </c>
      <c r="H84" s="304">
        <f>IF(VLOOKUP(GAS!N84,'GAS ASCII'!$B$2:$C$210,2)&gt;=500000,VLOOKUP(GAS!N84,'GAS ASCII'!$B$2:$C$210,2)/1000000,IF(VLOOKUP(GAS!N84,'GAS ASCII'!$B$2:$C$210,2)&lt;=0,"……………….","*"))</f>
        <v>136.493</v>
      </c>
      <c r="I84" s="17"/>
      <c r="J84" s="304">
        <f>IF(VLOOKUP(GAS!N84,'GAS ASCII'!$B$2:$D$210,3)&gt;=500000,VLOOKUP(GAS!N84,'GAS ASCII'!$B$2:$D$210,3)/-1000000,IF(VLOOKUP(GAS!N84,'GAS ASCII'!$B$2:$D$210,3)&lt;=0,0,"*"))</f>
        <v>-12.669</v>
      </c>
      <c r="K84" s="22"/>
      <c r="L84" s="304">
        <f>IF(VLOOKUP(GAS!N84,'GAS ASCII'!$B$2:$E$210,4)&gt;=500000,VLOOKUP(GAS!N84,'GAS ASCII'!$B$2:$E$210,4)/1000000,IF(VLOOKUP(GAS!N84,'GAS ASCII'!$B$2:$E$210,4)&lt;=0,"……………….","*"))</f>
        <v>123.824</v>
      </c>
      <c r="M84" s="17"/>
      <c r="N84" t="s">
        <v>765</v>
      </c>
      <c r="O84" s="235"/>
    </row>
    <row r="85" spans="2:15" ht="18" customHeight="1">
      <c r="B85" s="64"/>
      <c r="C85" t="s">
        <v>1059</v>
      </c>
      <c r="E85" s="35"/>
      <c r="H85" s="10"/>
      <c r="J85" s="10"/>
      <c r="L85" s="10"/>
      <c r="O85" s="235"/>
    </row>
    <row r="86" spans="2:15" ht="18" customHeight="1">
      <c r="B86" s="64"/>
      <c r="C86" t="s">
        <v>1060</v>
      </c>
      <c r="E86" s="35"/>
      <c r="H86" s="304">
        <f>IF(VLOOKUP(GAS!N86,'GAS ASCII'!$B$2:$C$210,2)&gt;=500000,VLOOKUP(GAS!N86,'GAS ASCII'!$B$2:$C$210,2)/1000000,IF(VLOOKUP(GAS!N86,'GAS ASCII'!$B$2:$C$210,2)&lt;=0,"……………….","*"))</f>
        <v>14</v>
      </c>
      <c r="J86" s="304">
        <f>IF(VLOOKUP(GAS!N86,'GAS ASCII'!$B$2:$D$210,3)&gt;=500000,VLOOKUP(GAS!N86,'GAS ASCII'!$B$2:$D$210,3)/-1000000,IF(VLOOKUP(GAS!N86,'GAS ASCII'!$B$2:$D$210,3)&lt;=0,0,"*"))</f>
        <v>0</v>
      </c>
      <c r="L86" s="304">
        <f>IF(VLOOKUP(GAS!N86,'GAS ASCII'!$B$2:$E$210,4)&gt;=500000,VLOOKUP(GAS!N86,'GAS ASCII'!$B$2:$E$210,4)/1000000,IF(VLOOKUP(GAS!N86,'GAS ASCII'!$B$2:$E$210,4)&lt;=0,"……………….","*"))</f>
        <v>14</v>
      </c>
      <c r="N86" t="s">
        <v>1054</v>
      </c>
      <c r="O86" s="235"/>
    </row>
    <row r="87" spans="3:15" ht="30.75" customHeight="1">
      <c r="C87" s="6" t="s">
        <v>77</v>
      </c>
      <c r="H87" s="304"/>
      <c r="I87" s="17"/>
      <c r="J87" s="304"/>
      <c r="K87" s="17"/>
      <c r="L87" s="304"/>
      <c r="M87" s="17"/>
      <c r="O87" s="235"/>
    </row>
    <row r="88" spans="3:15" ht="18" customHeight="1">
      <c r="C88" s="6" t="s">
        <v>548</v>
      </c>
      <c r="H88" s="304">
        <f>IF(VLOOKUP(GAS!N88,'GAS ASCII'!$B$2:$C$210,2)&gt;=500000,VLOOKUP(GAS!N88,'GAS ASCII'!$B$2:$C$210,2)/1000000,IF(VLOOKUP(GAS!N88,'GAS ASCII'!$B$2:$C$210,2)&lt;=0,"……………….","*"))</f>
        <v>1911.954</v>
      </c>
      <c r="I88" s="17"/>
      <c r="J88" s="304">
        <f>IF(VLOOKUP(GAS!N88,'GAS ASCII'!$B$2:$D$210,3)&gt;=500000,VLOOKUP(GAS!N88,'GAS ASCII'!$B$2:$D$210,3)/-1000000,IF(VLOOKUP(GAS!N88,'GAS ASCII'!$B$2:$D$210,3)&lt;=0,0,"*"))</f>
        <v>0</v>
      </c>
      <c r="K88" s="22"/>
      <c r="L88" s="304">
        <f>IF(VLOOKUP(GAS!N88,'GAS ASCII'!$B$2:$E$210,4)&gt;=500000,VLOOKUP(GAS!N88,'GAS ASCII'!$B$2:$E$210,4)/1000000,IF(VLOOKUP(GAS!N88,'GAS ASCII'!$B$2:$E$210,4)&lt;=0,"……………….","*"))</f>
        <v>1911.954</v>
      </c>
      <c r="M88" s="17"/>
      <c r="N88" t="s">
        <v>108</v>
      </c>
      <c r="O88" s="235"/>
    </row>
    <row r="89" spans="3:15" ht="18" customHeight="1">
      <c r="C89" s="6" t="s">
        <v>875</v>
      </c>
      <c r="H89" s="304">
        <f>IF(VLOOKUP(GAS!N89,'GAS ASCII'!$B$2:$C$210,2)&gt;=500000,VLOOKUP(GAS!N89,'GAS ASCII'!$B$2:$C$210,2)/1000000,IF(VLOOKUP(GAS!N89,'GAS ASCII'!$B$2:$C$210,2)&lt;=0,"……………….","*"))</f>
        <v>467.194</v>
      </c>
      <c r="I89" s="17"/>
      <c r="J89" s="304">
        <f>IF(VLOOKUP(GAS!N89,'GAS ASCII'!$B$2:$D$210,3)&gt;=500000,VLOOKUP(GAS!N89,'GAS ASCII'!$B$2:$D$210,3)/-1000000,IF(VLOOKUP(GAS!N89,'GAS ASCII'!$B$2:$D$210,3)&lt;=0,0,"*"))</f>
        <v>0</v>
      </c>
      <c r="K89" s="22"/>
      <c r="L89" s="304">
        <f>IF(VLOOKUP(GAS!N89,'GAS ASCII'!$B$2:$E$210,4)&gt;=500000,VLOOKUP(GAS!N89,'GAS ASCII'!$B$2:$E$210,4)/1000000,IF(VLOOKUP(GAS!N89,'GAS ASCII'!$B$2:$E$210,4)&lt;=0,"……………….","*"))</f>
        <v>467.194</v>
      </c>
      <c r="M89" s="17"/>
      <c r="N89" t="s">
        <v>110</v>
      </c>
      <c r="O89" s="235"/>
    </row>
    <row r="90" spans="3:15" ht="15.75" customHeight="1">
      <c r="C90" s="6" t="s">
        <v>876</v>
      </c>
      <c r="H90" s="304">
        <f>IF(VLOOKUP(GAS!N90,'GAS ASCII'!$B$2:$C$210,2)&gt;=500000,VLOOKUP(GAS!N90,'GAS ASCII'!$B$2:$C$210,2)/1000000,IF(VLOOKUP(GAS!N90,'GAS ASCII'!$B$2:$C$210,2)&lt;=0,"……………….","*"))</f>
        <v>193669.233</v>
      </c>
      <c r="I90" s="17"/>
      <c r="J90" s="304" t="str">
        <f>IF(VLOOKUP(GAS!N90,'GAS ASCII'!$B$2:$D$210,3)&gt;=500000,VLOOKUP(GAS!N90,'GAS ASCII'!$B$2:$D$210,3)/-1000000,IF(VLOOKUP(GAS!N90,'GAS ASCII'!$B$2:$D$210,3)&lt;=0,0,"*"))</f>
        <v>*</v>
      </c>
      <c r="K90" s="22"/>
      <c r="L90" s="304">
        <f>IF(VLOOKUP(GAS!N90,'GAS ASCII'!$B$2:$E$210,4)&gt;=500000,VLOOKUP(GAS!N90,'GAS ASCII'!$B$2:$E$210,4)/1000000,IF(VLOOKUP(GAS!N90,'GAS ASCII'!$B$2:$E$210,4)&lt;=0,"……………….","*"))</f>
        <v>193669.006</v>
      </c>
      <c r="M90" s="17"/>
      <c r="N90" t="s">
        <v>112</v>
      </c>
      <c r="O90" s="235"/>
    </row>
    <row r="91" spans="3:15" ht="15.75" customHeight="1">
      <c r="C91" s="6" t="s">
        <v>1105</v>
      </c>
      <c r="H91" s="304">
        <f>IF(VLOOKUP(GAS!N91,'GAS ASCII'!$B$2:$C$210,2)&gt;=500000,VLOOKUP(GAS!N91,'GAS ASCII'!$B$2:$C$210,2)/1000000,IF(VLOOKUP(GAS!N91,'GAS ASCII'!$B$2:$C$210,2)&lt;=0,"……………….","*"))</f>
        <v>286183.798</v>
      </c>
      <c r="I91" s="17"/>
      <c r="J91" s="304">
        <f>IF(VLOOKUP(GAS!N91,'GAS ASCII'!$B$2:$D$210,3)&gt;=500000,VLOOKUP(GAS!N91,'GAS ASCII'!$B$2:$D$210,3)/-1000000,IF(VLOOKUP(GAS!N91,'GAS ASCII'!$B$2:$D$210,3)&lt;=0,0,"*"))</f>
        <v>-4095.214</v>
      </c>
      <c r="K91" s="22"/>
      <c r="L91" s="304">
        <f>IF(VLOOKUP(GAS!N91,'GAS ASCII'!$B$2:$E$210,4)&gt;=500000,VLOOKUP(GAS!N91,'GAS ASCII'!$B$2:$E$210,4)/1000000,IF(VLOOKUP(GAS!N91,'GAS ASCII'!$B$2:$E$210,4)&lt;=0,"……………….","*"))</f>
        <v>282088.584</v>
      </c>
      <c r="M91" s="17"/>
      <c r="N91" t="s">
        <v>114</v>
      </c>
      <c r="O91" s="235"/>
    </row>
    <row r="92" spans="3:15" ht="15.75" customHeight="1">
      <c r="C92" s="6" t="s">
        <v>1086</v>
      </c>
      <c r="H92" s="304"/>
      <c r="I92" s="17"/>
      <c r="J92" s="304"/>
      <c r="K92" s="17"/>
      <c r="L92" s="304"/>
      <c r="M92" s="17"/>
      <c r="O92" s="235"/>
    </row>
    <row r="93" spans="3:15" ht="15.75" customHeight="1">
      <c r="C93" s="6" t="s">
        <v>1087</v>
      </c>
      <c r="H93" s="304">
        <f>IF(VLOOKUP(GAS!N93,'GAS ASCII'!$B$2:$C$210,2)&gt;=500000,VLOOKUP(GAS!N93,'GAS ASCII'!$B$2:$C$210,2)/1000000,IF(VLOOKUP(GAS!N93,'GAS ASCII'!$B$2:$C$210,2)&lt;=0,"……………….","*"))</f>
        <v>35.835</v>
      </c>
      <c r="I93" s="17"/>
      <c r="J93" s="304">
        <f>IF(VLOOKUP(GAS!N93,'GAS ASCII'!$B$2:$D$210,3)&gt;=500000,VLOOKUP(GAS!N93,'GAS ASCII'!$B$2:$D$210,3)/-1000000,IF(VLOOKUP(GAS!N93,'GAS ASCII'!$B$2:$D$210,3)&lt;=0,0,"*"))</f>
        <v>0</v>
      </c>
      <c r="K93" s="22"/>
      <c r="L93" s="304">
        <f>IF(VLOOKUP(GAS!N93,'GAS ASCII'!$B$2:$E$210,4)&gt;=500000,VLOOKUP(GAS!N93,'GAS ASCII'!$B$2:$E$210,4)/1000000,IF(VLOOKUP(GAS!N93,'GAS ASCII'!$B$2:$E$210,4)&lt;=0,"……………….","*"))</f>
        <v>35.835</v>
      </c>
      <c r="M93" s="17"/>
      <c r="N93" t="s">
        <v>1080</v>
      </c>
      <c r="O93" s="235"/>
    </row>
    <row r="94" spans="3:15" ht="15.75" customHeight="1">
      <c r="C94" s="6" t="s">
        <v>1106</v>
      </c>
      <c r="H94" s="304"/>
      <c r="I94" s="17"/>
      <c r="J94" s="304"/>
      <c r="K94" s="17"/>
      <c r="L94" s="304"/>
      <c r="M94" s="17"/>
      <c r="O94" s="235"/>
    </row>
    <row r="95" spans="3:15" ht="15.75" customHeight="1">
      <c r="C95" s="6" t="s">
        <v>48</v>
      </c>
      <c r="H95" s="304">
        <f>IF(VLOOKUP(GAS!N95,'GAS ASCII'!$B$2:$C$210,2)&gt;=500000,VLOOKUP(GAS!N95,'GAS ASCII'!$B$2:$C$210,2)/1000000,IF(VLOOKUP(GAS!N95,'GAS ASCII'!$B$2:$C$210,2)&lt;=0,"……………….","*"))</f>
        <v>4.553</v>
      </c>
      <c r="I95" s="17"/>
      <c r="J95" s="304">
        <f>IF(VLOOKUP(GAS!N95,'GAS ASCII'!$B$2:$D$210,3)&gt;=500000,VLOOKUP(GAS!N95,'GAS ASCII'!$B$2:$D$210,3)/-1000000,IF(VLOOKUP(GAS!N95,'GAS ASCII'!$B$2:$D$210,3)&lt;=0,0,"*"))</f>
        <v>0</v>
      </c>
      <c r="K95" s="22"/>
      <c r="L95" s="304">
        <f>IF(VLOOKUP(GAS!N95,'GAS ASCII'!$B$2:$E$210,4)&gt;=500000,VLOOKUP(GAS!N95,'GAS ASCII'!$B$2:$E$210,4)/1000000,IF(VLOOKUP(GAS!N95,'GAS ASCII'!$B$2:$E$210,4)&lt;=0,"……………….","*"))</f>
        <v>4.553</v>
      </c>
      <c r="M95" s="17"/>
      <c r="N95" t="s">
        <v>116</v>
      </c>
      <c r="O95" s="235"/>
    </row>
    <row r="96" spans="3:15" ht="15.75" customHeight="1">
      <c r="C96" s="6" t="s">
        <v>1088</v>
      </c>
      <c r="H96" s="304"/>
      <c r="I96" s="17"/>
      <c r="J96" s="304"/>
      <c r="K96" s="17"/>
      <c r="L96" s="304"/>
      <c r="M96" s="17"/>
      <c r="O96" s="235"/>
    </row>
    <row r="97" spans="3:15" ht="15.75" customHeight="1">
      <c r="C97" s="6" t="s">
        <v>1087</v>
      </c>
      <c r="H97" s="304" t="str">
        <f>IF(VLOOKUP(GAS!N97,'GAS ASCII'!$B$2:$C$210,2)&gt;=500000,VLOOKUP(GAS!N97,'GAS ASCII'!$B$2:$C$210,2)/1000000,IF(VLOOKUP(GAS!N97,'GAS ASCII'!$B$2:$C$210,2)&lt;=0,"……………….","*"))</f>
        <v>*</v>
      </c>
      <c r="I97" s="17"/>
      <c r="J97" s="304">
        <f>IF(VLOOKUP(GAS!N97,'GAS ASCII'!$B$2:$D$210,3)&gt;=500000,VLOOKUP(GAS!N97,'GAS ASCII'!$B$2:$D$210,3)/-1000000,IF(VLOOKUP(GAS!N97,'GAS ASCII'!$B$2:$D$210,3)&lt;=0,0,"*"))</f>
        <v>0</v>
      </c>
      <c r="K97" s="22"/>
      <c r="L97" s="304" t="str">
        <f>IF(VLOOKUP(GAS!N97,'GAS ASCII'!$B$2:$E$210,4)&gt;=500000,VLOOKUP(GAS!N97,'GAS ASCII'!$B$2:$E$210,4)/1000000,IF(VLOOKUP(GAS!N97,'GAS ASCII'!$B$2:$E$210,4)&lt;=0,"……………….","*"))</f>
        <v>*</v>
      </c>
      <c r="M97" s="17"/>
      <c r="N97" t="s">
        <v>1082</v>
      </c>
      <c r="O97" s="235"/>
    </row>
    <row r="98" spans="3:15" ht="15.75" customHeight="1">
      <c r="C98" s="6" t="s">
        <v>890</v>
      </c>
      <c r="H98" s="304">
        <f>IF(VLOOKUP(GAS!N98,'GAS ASCII'!$B$2:$C$210,2)&gt;=500000,VLOOKUP(GAS!N98,'GAS ASCII'!$B$2:$C$210,2)/1000000,IF(VLOOKUP(GAS!N98,'GAS ASCII'!$B$2:$C$210,2)&lt;=0,"……………….","*"))</f>
        <v>23069.893</v>
      </c>
      <c r="I98" s="17"/>
      <c r="J98" s="304">
        <f>IF(VLOOKUP(GAS!N98,'GAS ASCII'!$B$2:$D$210,3)&gt;=500000,VLOOKUP(GAS!N98,'GAS ASCII'!$B$2:$D$210,3)/-1000000,IF(VLOOKUP(GAS!N98,'GAS ASCII'!$B$2:$D$210,3)&lt;=0,0,"*"))</f>
        <v>0</v>
      </c>
      <c r="K98" s="22"/>
      <c r="L98" s="304">
        <f>IF(VLOOKUP(GAS!N98,'GAS ASCII'!$B$2:$E$210,4)&gt;=500000,VLOOKUP(GAS!N98,'GAS ASCII'!$B$2:$E$210,4)/1000000,IF(VLOOKUP(GAS!N98,'GAS ASCII'!$B$2:$E$210,4)&lt;=0,"……………….","*"))</f>
        <v>23069.893</v>
      </c>
      <c r="M98" s="17"/>
      <c r="N98" t="s">
        <v>117</v>
      </c>
      <c r="O98" s="235"/>
    </row>
    <row r="99" spans="3:15" ht="15.75" customHeight="1">
      <c r="C99" s="6" t="s">
        <v>837</v>
      </c>
      <c r="D99" s="6"/>
      <c r="H99" s="304">
        <f>IF(VLOOKUP(GAS!N99,'GAS ASCII'!$B$2:$C$210,2)&gt;=500000,VLOOKUP(GAS!N99,'GAS ASCII'!$B$2:$C$210,2)/1000000,IF(VLOOKUP(GAS!N99,'GAS ASCII'!$B$2:$C$210,2)&lt;=0,"……………….","*"))</f>
        <v>1598785.486</v>
      </c>
      <c r="I99" s="17"/>
      <c r="J99" s="304">
        <f>IF(VLOOKUP(GAS!N99,'GAS ASCII'!$B$2:$D$210,3)&gt;=500000,VLOOKUP(GAS!N99,'GAS ASCII'!$B$2:$D$210,3)/-1000000,IF(VLOOKUP(GAS!N99,'GAS ASCII'!$B$2:$D$210,3)&lt;=0,0,"*"))</f>
        <v>-1.346</v>
      </c>
      <c r="K99" s="22"/>
      <c r="L99" s="304">
        <f>IF(VLOOKUP(GAS!N99,'GAS ASCII'!$B$2:$E$210,4)&gt;=500000,VLOOKUP(GAS!N99,'GAS ASCII'!$B$2:$E$210,4)/1000000,IF(VLOOKUP(GAS!N99,'GAS ASCII'!$B$2:$E$210,4)&lt;=0,"……………….","*"))</f>
        <v>1598784.14</v>
      </c>
      <c r="M99" s="17"/>
      <c r="N99" t="s">
        <v>1013</v>
      </c>
      <c r="O99" s="235"/>
    </row>
    <row r="100" spans="3:15" ht="15.75" customHeight="1">
      <c r="C100" s="6" t="s">
        <v>38</v>
      </c>
      <c r="H100" s="304">
        <f>IF(VLOOKUP(GAS!N100,'GAS ASCII'!$B$2:$C$210,2)&gt;=500000,VLOOKUP(GAS!N100,'GAS ASCII'!$B$2:$C$210,2)/1000000,IF(VLOOKUP(GAS!N100,'GAS ASCII'!$B$2:$C$210,2)&lt;=0,"……………….","*"))</f>
        <v>27966.378</v>
      </c>
      <c r="I100" s="17"/>
      <c r="J100" s="304">
        <f>IF(VLOOKUP(GAS!N100,'GAS ASCII'!$B$2:$D$210,3)&gt;=500000,VLOOKUP(GAS!N100,'GAS ASCII'!$B$2:$D$210,3)/-1000000,IF(VLOOKUP(GAS!N100,'GAS ASCII'!$B$2:$D$210,3)&lt;=0,0,"*"))</f>
        <v>-3147.504</v>
      </c>
      <c r="K100" s="17"/>
      <c r="L100" s="304">
        <f>IF(VLOOKUP(GAS!N100,'GAS ASCII'!$B$2:$E$210,4)&gt;=500000,VLOOKUP(GAS!N100,'GAS ASCII'!$B$2:$E$210,4)/1000000,IF(VLOOKUP(GAS!N100,'GAS ASCII'!$B$2:$E$210,4)&lt;=0,"……………….","*"))</f>
        <v>24818.874</v>
      </c>
      <c r="M100" s="17"/>
      <c r="N100" t="s">
        <v>1015</v>
      </c>
      <c r="O100" s="235"/>
    </row>
    <row r="101" spans="3:15" ht="15.75" customHeight="1">
      <c r="C101" s="6" t="s">
        <v>49</v>
      </c>
      <c r="H101" s="304">
        <f>IF(VLOOKUP(GAS!N101,'GAS ASCII'!$B$2:$C$210,2)&gt;=500000,VLOOKUP(GAS!N101,'GAS ASCII'!$B$2:$C$210,2)/1000000,IF(VLOOKUP(GAS!N101,'GAS ASCII'!$B$2:$C$210,2)&lt;=0,"……………….","*"))</f>
        <v>13417.885</v>
      </c>
      <c r="I101" s="17"/>
      <c r="J101" s="304">
        <f>IF(VLOOKUP(GAS!N101,'GAS ASCII'!$B$2:$D$210,3)&gt;=500000,VLOOKUP(GAS!N101,'GAS ASCII'!$B$2:$D$210,3)/-1000000,IF(VLOOKUP(GAS!N101,'GAS ASCII'!$B$2:$D$210,3)&lt;=0,0,"*"))</f>
        <v>0</v>
      </c>
      <c r="K101" s="152"/>
      <c r="L101" s="304">
        <f>IF(VLOOKUP(GAS!N101,'GAS ASCII'!$B$2:$E$210,4)&gt;=500000,VLOOKUP(GAS!N101,'GAS ASCII'!$B$2:$E$210,4)/1000000,IF(VLOOKUP(GAS!N101,'GAS ASCII'!$B$2:$E$210,4)&lt;=0,"……………….","*"))</f>
        <v>13417.885</v>
      </c>
      <c r="M101" s="17"/>
      <c r="N101" t="s">
        <v>1017</v>
      </c>
      <c r="O101" s="235"/>
    </row>
    <row r="102" spans="3:15" ht="15.75" customHeight="1">
      <c r="C102" s="6" t="s">
        <v>92</v>
      </c>
      <c r="H102" s="304">
        <f>IF(VLOOKUP(GAS!N102,'GAS ASCII'!$B$2:$C$210,2)&gt;=500000,VLOOKUP(GAS!N102,'GAS ASCII'!$B$2:$C$210,2)/1000000,IF(VLOOKUP(GAS!N102,'GAS ASCII'!$B$2:$C$210,2)&lt;=0,"……………….","*"))</f>
        <v>3074.889</v>
      </c>
      <c r="I102" s="17"/>
      <c r="J102" s="304">
        <f>IF(VLOOKUP(GAS!N102,'GAS ASCII'!$B$2:$D$210,3)&gt;=500000,VLOOKUP(GAS!N102,'GAS ASCII'!$B$2:$D$210,3)/-1000000,IF(VLOOKUP(GAS!N102,'GAS ASCII'!$B$2:$D$210,3)&lt;=0,0,"*"))</f>
        <v>0</v>
      </c>
      <c r="K102" s="22"/>
      <c r="L102" s="304">
        <f>IF(VLOOKUP(GAS!N102,'GAS ASCII'!$B$2:$E$210,4)&gt;=500000,VLOOKUP(GAS!N102,'GAS ASCII'!$B$2:$E$210,4)/1000000,IF(VLOOKUP(GAS!N102,'GAS ASCII'!$B$2:$E$210,4)&lt;=0,"……………….","*"))</f>
        <v>3074.889</v>
      </c>
      <c r="M102" s="17"/>
      <c r="N102" t="s">
        <v>1019</v>
      </c>
      <c r="O102" s="235"/>
    </row>
    <row r="103" spans="3:15" ht="30.75" customHeight="1">
      <c r="C103" s="6" t="s">
        <v>1114</v>
      </c>
      <c r="H103" s="304">
        <f>IF(VLOOKUP(GAS!N103,'GAS ASCII'!$B$2:$C$210,2)&gt;=500000,VLOOKUP(GAS!N103,'GAS ASCII'!$B$2:$C$210,2)/1000000,IF(VLOOKUP(GAS!N103,'GAS ASCII'!$B$2:$C$210,2)&lt;=0,"……………….","*"))</f>
        <v>64.445</v>
      </c>
      <c r="I103" s="17"/>
      <c r="J103" s="304">
        <f>IF(VLOOKUP(GAS!N103,'GAS ASCII'!$B$2:$D$210,3)&gt;=500000,VLOOKUP(GAS!N103,'GAS ASCII'!$B$2:$D$210,3)/-1000000,IF(VLOOKUP(GAS!N103,'GAS ASCII'!$B$2:$D$210,3)&lt;=0,0,"*"))</f>
        <v>0</v>
      </c>
      <c r="K103" s="22"/>
      <c r="L103" s="304">
        <f>IF(VLOOKUP(GAS!N103,'GAS ASCII'!$B$2:$E$210,4)&gt;=500000,VLOOKUP(GAS!N103,'GAS ASCII'!$B$2:$E$210,4)/1000000,IF(VLOOKUP(GAS!N103,'GAS ASCII'!$B$2:$E$210,4)&lt;=0,"……………….","*"))</f>
        <v>64.445</v>
      </c>
      <c r="M103" s="17"/>
      <c r="N103" t="s">
        <v>524</v>
      </c>
      <c r="O103" s="235"/>
    </row>
    <row r="104" spans="3:15" ht="15.75" customHeight="1">
      <c r="C104" s="6" t="s">
        <v>1099</v>
      </c>
      <c r="H104" s="304">
        <f>IF(VLOOKUP(GAS!N104,'GAS ASCII'!$B$2:$C$210,2)&gt;=500000,VLOOKUP(GAS!N104,'GAS ASCII'!$B$2:$C$210,2)/1000000,IF(VLOOKUP(GAS!N104,'GAS ASCII'!$B$2:$C$210,2)&lt;=0,"……………….","*"))</f>
        <v>4.614</v>
      </c>
      <c r="I104" s="17"/>
      <c r="J104" s="304">
        <f>IF(VLOOKUP(GAS!N104,'GAS ASCII'!$B$2:$D$210,3)&gt;=500000,VLOOKUP(GAS!N104,'GAS ASCII'!$B$2:$D$210,3)/-1000000,IF(VLOOKUP(GAS!N104,'GAS ASCII'!$B$2:$D$210,3)&lt;=0,0,"*"))</f>
        <v>0</v>
      </c>
      <c r="K104" s="22"/>
      <c r="L104" s="304">
        <f>IF(VLOOKUP(GAS!N104,'GAS ASCII'!$B$2:$E$210,4)&gt;=500000,VLOOKUP(GAS!N104,'GAS ASCII'!$B$2:$E$210,4)/1000000,IF(VLOOKUP(GAS!N104,'GAS ASCII'!$B$2:$E$210,4)&lt;=0,"……………….","*"))</f>
        <v>4.614</v>
      </c>
      <c r="M104" s="17"/>
      <c r="N104" t="s">
        <v>1045</v>
      </c>
      <c r="O104" s="235"/>
    </row>
    <row r="105" spans="3:15" ht="15" customHeight="1">
      <c r="C105" s="6" t="s">
        <v>424</v>
      </c>
      <c r="H105" s="304" t="str">
        <f>IF(VLOOKUP(GAS!N105,'GAS ASCII'!$B$2:$C$210,2)&gt;=500000,VLOOKUP(GAS!N105,'GAS ASCII'!$B$2:$C$210,2)/1000000,IF(VLOOKUP(GAS!N105,'GAS ASCII'!$B$2:$C$210,2)&lt;=0,"……………….","*"))</f>
        <v>*</v>
      </c>
      <c r="I105" s="17"/>
      <c r="J105" s="304">
        <f>IF(VLOOKUP(GAS!N105,'GAS ASCII'!$B$2:$D$210,3)&gt;=500000,VLOOKUP(GAS!N105,'GAS ASCII'!$B$2:$D$210,3)/-1000000,IF(VLOOKUP(GAS!N105,'GAS ASCII'!$B$2:$D$210,3)&lt;=0,0,"*"))</f>
        <v>0</v>
      </c>
      <c r="K105" s="22"/>
      <c r="L105" s="304" t="str">
        <f>IF(VLOOKUP(GAS!N105,'GAS ASCII'!$B$2:$E$210,4)&gt;=500000,VLOOKUP(GAS!N105,'GAS ASCII'!$B$2:$E$210,4)/1000000,IF(VLOOKUP(GAS!N105,'GAS ASCII'!$B$2:$E$210,4)&lt;=0,"……………….","*"))</f>
        <v>*</v>
      </c>
      <c r="M105" s="17"/>
      <c r="N105" t="s">
        <v>1047</v>
      </c>
      <c r="O105" s="235"/>
    </row>
    <row r="106" spans="3:15" ht="15.75" customHeight="1">
      <c r="C106" s="6" t="s">
        <v>566</v>
      </c>
      <c r="H106" s="304">
        <f>IF(VLOOKUP(GAS!N106,'GAS ASCII'!$B$2:$C$210,2)&gt;=500000,VLOOKUP(GAS!N106,'GAS ASCII'!$B$2:$C$210,2)/1000000,IF(VLOOKUP(GAS!N106,'GAS ASCII'!$B$2:$C$210,2)&lt;=0,"……………….","*"))</f>
        <v>0.82907317</v>
      </c>
      <c r="I106" s="17"/>
      <c r="J106" s="304">
        <f>IF(VLOOKUP(GAS!N106,'GAS ASCII'!$B$2:$D$210,3)&gt;=500000,VLOOKUP(GAS!N106,'GAS ASCII'!$B$2:$D$210,3)/-1000000,IF(VLOOKUP(GAS!N106,'GAS ASCII'!$B$2:$D$210,3)&lt;=0,0,"*"))</f>
        <v>0</v>
      </c>
      <c r="K106" s="2"/>
      <c r="L106" s="304">
        <f>IF(VLOOKUP(GAS!N106,'GAS ASCII'!$B$2:$E$210,4)&gt;=500000,VLOOKUP(GAS!N106,'GAS ASCII'!$B$2:$E$210,4)/1000000,IF(VLOOKUP(GAS!N106,'GAS ASCII'!$B$2:$E$210,4)&lt;=0,"……………….","*"))</f>
        <v>0.82907317</v>
      </c>
      <c r="M106" s="17"/>
      <c r="N106" t="s">
        <v>563</v>
      </c>
      <c r="O106" s="235"/>
    </row>
    <row r="107" spans="3:15" ht="15.75" customHeight="1">
      <c r="C107" s="6" t="s">
        <v>1115</v>
      </c>
      <c r="H107" s="304">
        <f>IF(VLOOKUP(GAS!N107,'GAS ASCII'!$B$2:$C$210,2)&gt;=500000,VLOOKUP(GAS!N107,'GAS ASCII'!$B$2:$C$210,2)/1000000,IF(VLOOKUP(GAS!N107,'GAS ASCII'!$B$2:$C$210,2)&lt;=0,"……………….","*"))</f>
        <v>1.299</v>
      </c>
      <c r="I107" s="17"/>
      <c r="J107" s="304">
        <f>IF(VLOOKUP(GAS!N107,'GAS ASCII'!$B$2:$D$210,3)&gt;=500000,VLOOKUP(GAS!N107,'GAS ASCII'!$B$2:$D$210,3)/-1000000,IF(VLOOKUP(GAS!N107,'GAS ASCII'!$B$2:$D$210,3)&lt;=0,0,"*"))</f>
        <v>0</v>
      </c>
      <c r="K107" s="2"/>
      <c r="L107" s="304">
        <f>IF(VLOOKUP(GAS!N107,'GAS ASCII'!$B$2:$E$210,4)&gt;=500000,VLOOKUP(GAS!N107,'GAS ASCII'!$B$2:$E$210,4)/1000000,IF(VLOOKUP(GAS!N107,'GAS ASCII'!$B$2:$E$210,4)&lt;=0,"……………….","*"))</f>
        <v>1.299</v>
      </c>
      <c r="M107" s="17"/>
      <c r="N107" t="s">
        <v>556</v>
      </c>
      <c r="O107" s="235"/>
    </row>
    <row r="108" spans="3:15" ht="14.25" customHeight="1">
      <c r="C108" s="6" t="s">
        <v>470</v>
      </c>
      <c r="H108" s="304"/>
      <c r="I108" s="17"/>
      <c r="J108" s="304"/>
      <c r="K108" s="17"/>
      <c r="L108" s="304"/>
      <c r="M108" s="17"/>
      <c r="O108" s="235"/>
    </row>
    <row r="109" spans="3:15" ht="15.75" customHeight="1">
      <c r="C109" s="6" t="s">
        <v>1091</v>
      </c>
      <c r="H109" s="304">
        <f>IF(VLOOKUP(GAS!N109,'GAS ASCII'!$B$2:$C$210,2)&gt;=500000,VLOOKUP(GAS!N109,'GAS ASCII'!$B$2:$C$210,2)/1000000,IF(VLOOKUP(GAS!N109,'GAS ASCII'!$B$2:$C$210,2)&lt;=0,"……………….","*"))</f>
        <v>7831.042</v>
      </c>
      <c r="I109" s="17"/>
      <c r="J109" s="304">
        <f>IF(VLOOKUP(GAS!N109,'GAS ASCII'!$B$2:$D$210,3)&gt;=500000,VLOOKUP(GAS!N109,'GAS ASCII'!$B$2:$D$210,3)/-1000000,IF(VLOOKUP(GAS!N109,'GAS ASCII'!$B$2:$D$210,3)&lt;=0,0,"*"))</f>
        <v>0</v>
      </c>
      <c r="K109" s="22"/>
      <c r="L109" s="304">
        <f>IF(VLOOKUP(GAS!N109,'GAS ASCII'!$B$2:$E$210,4)&gt;=500000,VLOOKUP(GAS!N109,'GAS ASCII'!$B$2:$E$210,4)/1000000,IF(VLOOKUP(GAS!N109,'GAS ASCII'!$B$2:$E$210,4)&lt;=0,"……………….","*"))</f>
        <v>7831.042</v>
      </c>
      <c r="M109" s="17"/>
      <c r="N109" t="s">
        <v>558</v>
      </c>
      <c r="O109" s="235"/>
    </row>
    <row r="110" spans="3:15" ht="30.75" customHeight="1">
      <c r="C110" s="6" t="s">
        <v>164</v>
      </c>
      <c r="H110" s="304">
        <f>IF(VLOOKUP(GAS!N110,'GAS ASCII'!$B$2:$C$210,2)&gt;=500000,VLOOKUP(GAS!N110,'GAS ASCII'!$B$2:$C$210,2)/1000000,IF(VLOOKUP(GAS!N110,'GAS ASCII'!$B$2:$C$210,2)&lt;=0,"……………….","*"))</f>
        <v>2525.302</v>
      </c>
      <c r="I110" s="17"/>
      <c r="J110" s="304">
        <f>IF(VLOOKUP(GAS!N110,'GAS ASCII'!$B$2:$D$210,3)&gt;=500000,VLOOKUP(GAS!N110,'GAS ASCII'!$B$2:$D$210,3)/-1000000,IF(VLOOKUP(GAS!N110,'GAS ASCII'!$B$2:$D$210,3)&lt;=0,0,"*"))</f>
        <v>0</v>
      </c>
      <c r="K110" s="22"/>
      <c r="L110" s="304">
        <f>IF(VLOOKUP(GAS!N110,'GAS ASCII'!$B$2:$E$210,4)&gt;=500000,VLOOKUP(GAS!N110,'GAS ASCII'!$B$2:$E$210,4)/1000000,IF(VLOOKUP(GAS!N110,'GAS ASCII'!$B$2:$E$210,4)&lt;=0,"……………….","*"))</f>
        <v>2525.302</v>
      </c>
      <c r="M110" s="17"/>
      <c r="N110" t="s">
        <v>560</v>
      </c>
      <c r="O110" s="235"/>
    </row>
    <row r="111" spans="3:15" ht="15.75" customHeight="1">
      <c r="C111" s="6" t="s">
        <v>1107</v>
      </c>
      <c r="H111" s="304"/>
      <c r="I111" s="17"/>
      <c r="J111" s="304"/>
      <c r="K111" s="17"/>
      <c r="L111" s="304"/>
      <c r="M111" s="17"/>
      <c r="O111" s="235"/>
    </row>
    <row r="112" spans="3:15" ht="15.75" customHeight="1">
      <c r="C112" s="6" t="s">
        <v>1092</v>
      </c>
      <c r="H112" s="304">
        <f>IF(VLOOKUP(GAS!N112,'GAS ASCII'!$B$2:$C$210,2)&gt;=500000,VLOOKUP(GAS!N112,'GAS ASCII'!$B$2:$C$210,2)/1000000,IF(VLOOKUP(GAS!N112,'GAS ASCII'!$B$2:$C$210,2)&lt;=0,"……………….","*"))</f>
        <v>54.759</v>
      </c>
      <c r="I112" s="17"/>
      <c r="J112" s="304">
        <f>IF(VLOOKUP(GAS!N112,'GAS ASCII'!$B$2:$D$210,3)&gt;=500000,VLOOKUP(GAS!N112,'GAS ASCII'!$B$2:$D$210,3)/-1000000,IF(VLOOKUP(GAS!N112,'GAS ASCII'!$B$2:$D$210,3)&lt;=0,0,"*"))</f>
        <v>0</v>
      </c>
      <c r="K112" s="17"/>
      <c r="L112" s="304">
        <f>IF(VLOOKUP(GAS!N112,'GAS ASCII'!$B$2:$E$210,4)&gt;=500000,VLOOKUP(GAS!N112,'GAS ASCII'!$B$2:$E$210,4)/1000000,IF(VLOOKUP(GAS!N112,'GAS ASCII'!$B$2:$E$210,4)&lt;=0,"……………….","*"))</f>
        <v>54.759</v>
      </c>
      <c r="M112" s="17"/>
      <c r="N112" t="s">
        <v>716</v>
      </c>
      <c r="O112" s="235"/>
    </row>
    <row r="113" spans="3:15" ht="15.75" customHeight="1">
      <c r="C113" s="6" t="s">
        <v>67</v>
      </c>
      <c r="H113" s="304">
        <f>IF(VLOOKUP(GAS!N113,'GAS ASCII'!$B$2:$C$210,2)&gt;=500000,VLOOKUP(GAS!N113,'GAS ASCII'!$B$2:$C$210,2)/1000000,IF(VLOOKUP(GAS!N113,'GAS ASCII'!$B$2:$C$210,2)&lt;=0,"……………….","*"))</f>
        <v>2277.479</v>
      </c>
      <c r="I113" s="17"/>
      <c r="J113" s="304">
        <f>IF(VLOOKUP(GAS!N113,'GAS ASCII'!$B$2:$D$210,3)&gt;=500000,VLOOKUP(GAS!N113,'GAS ASCII'!$B$2:$D$210,3)/-1000000,IF(VLOOKUP(GAS!N113,'GAS ASCII'!$B$2:$D$210,3)&lt;=0,0,"*"))</f>
        <v>0</v>
      </c>
      <c r="K113" s="22"/>
      <c r="L113" s="304">
        <f>IF(VLOOKUP(GAS!N113,'GAS ASCII'!$B$2:$E$210,4)&gt;=500000,VLOOKUP(GAS!N113,'GAS ASCII'!$B$2:$E$210,4)/1000000,IF(VLOOKUP(GAS!N113,'GAS ASCII'!$B$2:$E$210,4)&lt;=0,"……………….","*"))</f>
        <v>2277.479</v>
      </c>
      <c r="M113" s="17"/>
      <c r="N113" t="s">
        <v>717</v>
      </c>
      <c r="O113" s="235"/>
    </row>
    <row r="114" spans="3:15" ht="15.75" customHeight="1">
      <c r="C114" s="6" t="s">
        <v>736</v>
      </c>
      <c r="H114" s="304">
        <f>IF(VLOOKUP(GAS!N114,'GAS ASCII'!$B$2:$C$210,2)&gt;=500000,VLOOKUP(GAS!N114,'GAS ASCII'!$B$2:$C$210,2)/1000000,IF(VLOOKUP(GAS!N114,'GAS ASCII'!$B$2:$C$210,2)&lt;=0,"……………….","*"))</f>
        <v>10829.873</v>
      </c>
      <c r="I114" s="17"/>
      <c r="J114" s="304">
        <f>IF(VLOOKUP(GAS!N114,'GAS ASCII'!$B$2:$D$210,3)&gt;=500000,VLOOKUP(GAS!N114,'GAS ASCII'!$B$2:$D$210,3)/-1000000,IF(VLOOKUP(GAS!N114,'GAS ASCII'!$B$2:$D$210,3)&lt;=0,0,"*"))</f>
        <v>0</v>
      </c>
      <c r="K114" s="22"/>
      <c r="L114" s="304">
        <f>IF(VLOOKUP(GAS!N114,'GAS ASCII'!$B$2:$E$210,4)&gt;=500000,VLOOKUP(GAS!N114,'GAS ASCII'!$B$2:$E$210,4)/1000000,IF(VLOOKUP(GAS!N114,'GAS ASCII'!$B$2:$E$210,4)&lt;=0,"……………….","*"))</f>
        <v>10829.873</v>
      </c>
      <c r="M114" s="17"/>
      <c r="N114" t="s">
        <v>719</v>
      </c>
      <c r="O114" s="235"/>
    </row>
    <row r="115" spans="3:15" ht="15.75" customHeight="1">
      <c r="C115" s="6" t="s">
        <v>1119</v>
      </c>
      <c r="H115" s="304">
        <f>IF(VLOOKUP(GAS!N115,'GAS ASCII'!$B$2:$C$210,2)&gt;=500000,VLOOKUP(GAS!N115,'GAS ASCII'!$B$2:$C$210,2)/1000000,IF(VLOOKUP(GAS!N115,'GAS ASCII'!$B$2:$C$210,2)&lt;=0,"……………….","*"))</f>
        <v>12.20849786</v>
      </c>
      <c r="I115" s="17"/>
      <c r="J115" s="304">
        <f>IF(VLOOKUP(GAS!N115,'GAS ASCII'!$B$2:$D$210,3)&gt;=500000,VLOOKUP(GAS!N115,'GAS ASCII'!$B$2:$D$210,3)/-1000000,IF(VLOOKUP(GAS!N115,'GAS ASCII'!$B$2:$D$210,3)&lt;=0,0,"*"))</f>
        <v>0</v>
      </c>
      <c r="K115" s="22"/>
      <c r="L115" s="304">
        <f>IF(VLOOKUP(GAS!N115,'GAS ASCII'!$B$2:$E$210,4)&gt;=500000,VLOOKUP(GAS!N115,'GAS ASCII'!$B$2:$E$210,4)/1000000,IF(VLOOKUP(GAS!N115,'GAS ASCII'!$B$2:$E$210,4)&lt;=0,"……………….","*"))</f>
        <v>12.20849786</v>
      </c>
      <c r="M115" s="17"/>
      <c r="N115" t="s">
        <v>457</v>
      </c>
      <c r="O115" s="235"/>
    </row>
    <row r="116" spans="3:15" ht="30.75" customHeight="1">
      <c r="C116" s="6" t="s">
        <v>1022</v>
      </c>
      <c r="H116" s="304">
        <f>IF(VLOOKUP(GAS!N116,'GAS ASCII'!$B$2:$C$210,2)&gt;=500000,VLOOKUP(GAS!N116,'GAS ASCII'!$B$2:$C$210,2)/1000000,IF(VLOOKUP(GAS!N116,'GAS ASCII'!$B$2:$C$210,2)&lt;=0,"……………….","*"))</f>
        <v>348.277</v>
      </c>
      <c r="I116" s="17"/>
      <c r="J116" s="304">
        <f>IF(VLOOKUP(GAS!N116,'GAS ASCII'!$B$2:$D$210,3)&gt;=500000,VLOOKUP(GAS!N116,'GAS ASCII'!$B$2:$D$210,3)/-1000000,IF(VLOOKUP(GAS!N116,'GAS ASCII'!$B$2:$D$210,3)&lt;=0,0,"*"))</f>
        <v>0</v>
      </c>
      <c r="K116" s="22"/>
      <c r="L116" s="304">
        <f>IF(VLOOKUP(GAS!N116,'GAS ASCII'!$B$2:$E$210,4)&gt;=500000,VLOOKUP(GAS!N116,'GAS ASCII'!$B$2:$E$210,4)/1000000,IF(VLOOKUP(GAS!N116,'GAS ASCII'!$B$2:$E$210,4)&lt;=0,"……………….","*"))</f>
        <v>348.277</v>
      </c>
      <c r="M116" s="17"/>
      <c r="N116" t="s">
        <v>721</v>
      </c>
      <c r="O116" s="235"/>
    </row>
    <row r="117" spans="3:15" ht="15.75" customHeight="1">
      <c r="C117" s="6" t="s">
        <v>370</v>
      </c>
      <c r="H117" s="304">
        <f>IF(VLOOKUP(GAS!N117,'GAS ASCII'!$B$2:$C$210,2)&gt;=500000,VLOOKUP(GAS!N117,'GAS ASCII'!$B$2:$C$210,2)/1000000,IF(VLOOKUP(GAS!N117,'GAS ASCII'!$B$2:$C$210,2)&lt;=0,"……………….","*"))</f>
        <v>12.201</v>
      </c>
      <c r="I117" s="17"/>
      <c r="J117" s="304">
        <f>IF(VLOOKUP(GAS!N117,'GAS ASCII'!$B$2:$D$210,3)&gt;=500000,VLOOKUP(GAS!N117,'GAS ASCII'!$B$2:$D$210,3)/-1000000,IF(VLOOKUP(GAS!N117,'GAS ASCII'!$B$2:$D$210,3)&lt;=0,0,"*"))</f>
        <v>0</v>
      </c>
      <c r="K117" s="22"/>
      <c r="L117" s="304">
        <f>IF(VLOOKUP(GAS!N117,'GAS ASCII'!$B$2:$E$210,4)&gt;=500000,VLOOKUP(GAS!N117,'GAS ASCII'!$B$2:$E$210,4)/1000000,IF(VLOOKUP(GAS!N117,'GAS ASCII'!$B$2:$E$210,4)&lt;=0,"……………….","*"))</f>
        <v>12.201</v>
      </c>
      <c r="M117" s="17"/>
      <c r="N117" t="s">
        <v>416</v>
      </c>
      <c r="O117" s="235"/>
    </row>
    <row r="118" spans="3:15" ht="15.75" customHeight="1">
      <c r="C118" s="108" t="s">
        <v>874</v>
      </c>
      <c r="H118" s="304" t="str">
        <f>IF(VLOOKUP(GAS!N118,'GAS ASCII'!$B$2:$C$210,2)&gt;=500000,VLOOKUP(GAS!N118,'GAS ASCII'!$B$2:$C$210,2)/1000000,IF(VLOOKUP(GAS!N118,'GAS ASCII'!$B$2:$C$210,2)&lt;=0,"……………….","*"))</f>
        <v>*</v>
      </c>
      <c r="I118" s="17"/>
      <c r="J118" s="304">
        <f>IF(VLOOKUP(GAS!N118,'GAS ASCII'!$B$2:$D$210,3)&gt;=500000,VLOOKUP(GAS!N118,'GAS ASCII'!$B$2:$D$210,3)/-1000000,IF(VLOOKUP(GAS!N118,'GAS ASCII'!$B$2:$D$210,3)&lt;=0,0,"*"))</f>
        <v>0</v>
      </c>
      <c r="K118" s="22"/>
      <c r="L118" s="304" t="str">
        <f>IF(VLOOKUP(GAS!N118,'GAS ASCII'!$B$2:$E$210,4)&gt;=500000,VLOOKUP(GAS!N118,'GAS ASCII'!$B$2:$E$210,4)/1000000,IF(VLOOKUP(GAS!N118,'GAS ASCII'!$B$2:$E$210,4)&lt;=0,"……………….","*"))</f>
        <v>*</v>
      </c>
      <c r="M118" s="17"/>
      <c r="N118" t="s">
        <v>357</v>
      </c>
      <c r="O118" s="235"/>
    </row>
    <row r="119" spans="3:15" ht="15.75" customHeight="1">
      <c r="C119" s="6" t="s">
        <v>996</v>
      </c>
      <c r="H119" s="304">
        <f>IF(VLOOKUP(GAS!N119,'GAS ASCII'!$B$2:$C$210,2)&gt;=500000,VLOOKUP(GAS!N119,'GAS ASCII'!$B$2:$C$210,2)/1000000,IF(VLOOKUP(GAS!N119,'GAS ASCII'!$B$2:$C$210,2)&lt;=0,"……………….","*"))</f>
        <v>5.019</v>
      </c>
      <c r="I119" s="17"/>
      <c r="J119" s="304">
        <f>IF(VLOOKUP(GAS!N119,'GAS ASCII'!$B$2:$D$210,3)&gt;=500000,VLOOKUP(GAS!N119,'GAS ASCII'!$B$2:$D$210,3)/-1000000,IF(VLOOKUP(GAS!N119,'GAS ASCII'!$B$2:$D$210,3)&lt;=0,0,"*"))</f>
        <v>0</v>
      </c>
      <c r="K119" s="2"/>
      <c r="L119" s="304">
        <f>IF(VLOOKUP(GAS!N119,'GAS ASCII'!$B$2:$E$210,4)&gt;=500000,VLOOKUP(GAS!N119,'GAS ASCII'!$B$2:$E$210,4)/1000000,IF(VLOOKUP(GAS!N119,'GAS ASCII'!$B$2:$E$210,4)&lt;=0,"……………….","*"))</f>
        <v>5.019</v>
      </c>
      <c r="M119" s="17"/>
      <c r="N119" t="s">
        <v>533</v>
      </c>
      <c r="O119" s="235"/>
    </row>
    <row r="120" spans="3:15" ht="30.75" customHeight="1">
      <c r="C120" s="6" t="s">
        <v>12</v>
      </c>
      <c r="H120" s="304">
        <f>IF(VLOOKUP(GAS!N120,'GAS ASCII'!$B$2:$C$210,2)&gt;=500000,VLOOKUP(GAS!N120,'GAS ASCII'!$B$2:$C$210,2)/1000000,IF(VLOOKUP(GAS!N120,'GAS ASCII'!$B$2:$C$210,2)&lt;=0,"……………….","*"))</f>
        <v>37.267</v>
      </c>
      <c r="I120" s="17"/>
      <c r="J120" s="304">
        <f>IF(VLOOKUP(GAS!N120,'GAS ASCII'!$B$2:$D$210,3)&gt;=500000,VLOOKUP(GAS!N120,'GAS ASCII'!$B$2:$D$210,3)/-1000000,IF(VLOOKUP(GAS!N120,'GAS ASCII'!$B$2:$D$210,3)&lt;=0,0,"*"))</f>
        <v>0</v>
      </c>
      <c r="K120" s="22"/>
      <c r="L120" s="304">
        <f>IF(VLOOKUP(GAS!N120,'GAS ASCII'!$B$2:$E$210,4)&gt;=500000,VLOOKUP(GAS!N120,'GAS ASCII'!$B$2:$E$210,4)/1000000,IF(VLOOKUP(GAS!N120,'GAS ASCII'!$B$2:$E$210,4)&lt;=0,"……………….","*"))</f>
        <v>37.267</v>
      </c>
      <c r="M120" s="17"/>
      <c r="N120" t="s">
        <v>254</v>
      </c>
      <c r="O120" s="235"/>
    </row>
    <row r="121" spans="3:15" ht="15.75" customHeight="1">
      <c r="C121" s="6" t="s">
        <v>13</v>
      </c>
      <c r="H121" s="304"/>
      <c r="I121" s="17"/>
      <c r="J121" s="304"/>
      <c r="K121" s="17"/>
      <c r="L121" s="304"/>
      <c r="M121" s="17"/>
      <c r="O121" s="235"/>
    </row>
    <row r="122" spans="3:15" ht="15.75" customHeight="1">
      <c r="C122" s="6" t="s">
        <v>1063</v>
      </c>
      <c r="H122" s="304">
        <f>IF(VLOOKUP(GAS!N122,'GAS ASCII'!$B$2:$C$210,2)&gt;=500000,VLOOKUP(GAS!N122,'GAS ASCII'!$B$2:$C$210,2)/1000000,IF(VLOOKUP(GAS!N122,'GAS ASCII'!$B$2:$C$210,2)&lt;=0,"……………….","*"))</f>
        <v>39.185</v>
      </c>
      <c r="I122" s="17"/>
      <c r="J122" s="304" t="str">
        <f>IF(VLOOKUP(GAS!N122,'GAS ASCII'!$B$2:$D$210,3)&gt;=500000,VLOOKUP(GAS!N122,'GAS ASCII'!$B$2:$D$210,3)/-1000000,IF(VLOOKUP(GAS!N122,'GAS ASCII'!$B$2:$D$210,3)&lt;=0,0,"*"))</f>
        <v>*</v>
      </c>
      <c r="K122" s="2"/>
      <c r="L122" s="304">
        <f>IF(VLOOKUP(GAS!N122,'GAS ASCII'!$B$2:$E$210,4)&gt;=500000,VLOOKUP(GAS!N122,'GAS ASCII'!$B$2:$E$210,4)/1000000,IF(VLOOKUP(GAS!N122,'GAS ASCII'!$B$2:$E$210,4)&lt;=0,"……………….","*"))</f>
        <v>39.009</v>
      </c>
      <c r="M122" s="17"/>
      <c r="N122" t="s">
        <v>389</v>
      </c>
      <c r="O122" s="235"/>
    </row>
    <row r="123" spans="3:15" ht="15.75" customHeight="1">
      <c r="C123" s="6" t="s">
        <v>895</v>
      </c>
      <c r="H123" s="304">
        <f>IF(VLOOKUP(GAS!N123,'GAS ASCII'!$B$2:$C$210,2)&gt;=500000,VLOOKUP(GAS!N123,'GAS ASCII'!$B$2:$C$210,2)/1000000,IF(VLOOKUP(GAS!N123,'GAS ASCII'!$B$2:$C$210,2)&lt;=0,"……………….","*"))</f>
        <v>11.409</v>
      </c>
      <c r="I123" s="17"/>
      <c r="J123" s="304" t="str">
        <f>IF(VLOOKUP(GAS!N123,'GAS ASCII'!$B$2:$D$210,3)&gt;=500000,VLOOKUP(GAS!N123,'GAS ASCII'!$B$2:$D$210,3)/-1000000,IF(VLOOKUP(GAS!N123,'GAS ASCII'!$B$2:$D$210,3)&lt;=0,0,"*"))</f>
        <v>*</v>
      </c>
      <c r="K123" s="2"/>
      <c r="L123" s="304">
        <f>IF(VLOOKUP(GAS!N123,'GAS ASCII'!$B$2:$E$210,4)&gt;=500000,VLOOKUP(GAS!N123,'GAS ASCII'!$B$2:$E$210,4)/1000000,IF(VLOOKUP(GAS!N123,'GAS ASCII'!$B$2:$E$210,4)&lt;=0,"……………….","*"))</f>
        <v>11.259</v>
      </c>
      <c r="M123" s="17"/>
      <c r="N123" t="s">
        <v>391</v>
      </c>
      <c r="O123" s="235"/>
    </row>
    <row r="124" spans="3:15" ht="15.75" customHeight="1">
      <c r="C124" s="6" t="s">
        <v>872</v>
      </c>
      <c r="H124" s="304">
        <f>IF(VLOOKUP(GAS!N124,'GAS ASCII'!$B$2:$C$210,2)&gt;=500000,VLOOKUP(GAS!N124,'GAS ASCII'!$B$2:$C$210,2)/1000000,IF(VLOOKUP(GAS!N124,'GAS ASCII'!$B$2:$C$210,2)&lt;=0,"……………….","*"))</f>
        <v>202.732</v>
      </c>
      <c r="I124" s="17"/>
      <c r="J124" s="304">
        <f>IF(VLOOKUP(GAS!N124,'GAS ASCII'!$B$2:$D$210,3)&gt;=500000,VLOOKUP(GAS!N124,'GAS ASCII'!$B$2:$D$210,3)/-1000000,IF(VLOOKUP(GAS!N124,'GAS ASCII'!$B$2:$D$210,3)&lt;=0,0,"*"))</f>
        <v>0</v>
      </c>
      <c r="K124" s="22"/>
      <c r="L124" s="304">
        <f>IF(VLOOKUP(GAS!N124,'GAS ASCII'!$B$2:$E$210,4)&gt;=500000,VLOOKUP(GAS!N124,'GAS ASCII'!$B$2:$E$210,4)/1000000,IF(VLOOKUP(GAS!N124,'GAS ASCII'!$B$2:$E$210,4)&lt;=0,"……………….","*"))</f>
        <v>202.732</v>
      </c>
      <c r="M124" s="17"/>
      <c r="N124" t="s">
        <v>579</v>
      </c>
      <c r="O124" s="235"/>
    </row>
    <row r="125" spans="3:15" ht="15.75" customHeight="1">
      <c r="C125" s="6" t="s">
        <v>172</v>
      </c>
      <c r="H125" s="304">
        <f>IF(VLOOKUP(GAS!N125,'GAS ASCII'!$B$2:$C$210,2)&gt;=500000,VLOOKUP(GAS!N125,'GAS ASCII'!$B$2:$C$210,2)/1000000,IF(VLOOKUP(GAS!N125,'GAS ASCII'!$B$2:$C$210,2)&lt;=0,"……………….","*"))</f>
        <v>455.28</v>
      </c>
      <c r="I125" s="17"/>
      <c r="J125" s="304">
        <f>IF(VLOOKUP(GAS!N125,'GAS ASCII'!$B$2:$D$210,3)&gt;=500000,VLOOKUP(GAS!N125,'GAS ASCII'!$B$2:$D$210,3)/-1000000,IF(VLOOKUP(GAS!N125,'GAS ASCII'!$B$2:$D$210,3)&lt;=0,0,"*"))</f>
        <v>0</v>
      </c>
      <c r="K125" s="22"/>
      <c r="L125" s="304">
        <f>IF(VLOOKUP(GAS!N125,'GAS ASCII'!$B$2:$E$210,4)&gt;=500000,VLOOKUP(GAS!N125,'GAS ASCII'!$B$2:$E$210,4)/1000000,IF(VLOOKUP(GAS!N125,'GAS ASCII'!$B$2:$E$210,4)&lt;=0,"……………….","*"))</f>
        <v>455.28</v>
      </c>
      <c r="M125" s="17"/>
      <c r="N125" t="s">
        <v>581</v>
      </c>
      <c r="O125" s="235"/>
    </row>
    <row r="126" spans="3:15" ht="30.75" customHeight="1">
      <c r="C126" s="6" t="s">
        <v>173</v>
      </c>
      <c r="H126" s="304">
        <f>IF(VLOOKUP(GAS!N126,'GAS ASCII'!$B$2:$C$210,2)&gt;=500000,VLOOKUP(GAS!N126,'GAS ASCII'!$B$2:$C$210,2)/1000000,IF(VLOOKUP(GAS!N126,'GAS ASCII'!$B$2:$C$210,2)&lt;=0,"……………….","*"))</f>
        <v>7.492</v>
      </c>
      <c r="I126" s="17"/>
      <c r="J126" s="304" t="str">
        <f>IF(VLOOKUP(GAS!N126,'GAS ASCII'!$B$2:$D$210,3)&gt;=500000,VLOOKUP(GAS!N126,'GAS ASCII'!$B$2:$D$210,3)/-1000000,IF(VLOOKUP(GAS!N126,'GAS ASCII'!$B$2:$D$210,3)&lt;=0,0,"*"))</f>
        <v>*</v>
      </c>
      <c r="K126" s="22"/>
      <c r="L126" s="304">
        <f>IF(VLOOKUP(GAS!N126,'GAS ASCII'!$B$2:$E$210,4)&gt;=500000,VLOOKUP(GAS!N126,'GAS ASCII'!$B$2:$E$210,4)/1000000,IF(VLOOKUP(GAS!N126,'GAS ASCII'!$B$2:$E$210,4)&lt;=0,"……………….","*"))</f>
        <v>7.402</v>
      </c>
      <c r="M126" s="17"/>
      <c r="N126" t="s">
        <v>583</v>
      </c>
      <c r="O126" s="235"/>
    </row>
    <row r="127" spans="3:15" ht="30.75" customHeight="1">
      <c r="C127" s="6" t="s">
        <v>1064</v>
      </c>
      <c r="H127" s="304">
        <f>IF(VLOOKUP(GAS!N127,'GAS ASCII'!$B$2:$C$210,2)&gt;=500000,VLOOKUP(GAS!N127,'GAS ASCII'!$B$2:$C$210,2)/1000000,IF(VLOOKUP(GAS!N127,'GAS ASCII'!$B$2:$C$210,2)&lt;=0,"……………….","*"))</f>
        <v>5.226</v>
      </c>
      <c r="I127" s="17"/>
      <c r="J127" s="304">
        <f>IF(VLOOKUP(GAS!N127,'GAS ASCII'!$B$2:$D$210,3)&gt;=500000,VLOOKUP(GAS!N127,'GAS ASCII'!$B$2:$D$210,3)/-1000000,IF(VLOOKUP(GAS!N127,'GAS ASCII'!$B$2:$D$210,3)&lt;=0,0,"*"))</f>
        <v>0</v>
      </c>
      <c r="K127" s="22"/>
      <c r="L127" s="304">
        <f>IF(VLOOKUP(GAS!N127,'GAS ASCII'!$B$2:$E$210,4)&gt;=500000,VLOOKUP(GAS!N127,'GAS ASCII'!$B$2:$E$210,4)/1000000,IF(VLOOKUP(GAS!N127,'GAS ASCII'!$B$2:$E$210,4)&lt;=0,"……………….","*"))</f>
        <v>5.226</v>
      </c>
      <c r="M127" s="17"/>
      <c r="N127" t="s">
        <v>585</v>
      </c>
      <c r="O127" s="235"/>
    </row>
    <row r="128" spans="3:15" ht="15.75" customHeight="1">
      <c r="C128" s="6" t="s">
        <v>1</v>
      </c>
      <c r="H128" s="304">
        <f>IF(VLOOKUP(GAS!N128,'GAS ASCII'!$B$2:$C$210,2)&gt;=500000,VLOOKUP(GAS!N128,'GAS ASCII'!$B$2:$C$210,2)/1000000,IF(VLOOKUP(GAS!N128,'GAS ASCII'!$B$2:$C$210,2)&lt;=0,"……………….","*"))</f>
        <v>2400.753</v>
      </c>
      <c r="I128" s="17"/>
      <c r="J128" s="304">
        <f>IF(VLOOKUP(GAS!N128,'GAS ASCII'!$B$2:$D$210,3)&gt;=500000,VLOOKUP(GAS!N128,'GAS ASCII'!$B$2:$D$210,3)/-1000000,IF(VLOOKUP(GAS!N128,'GAS ASCII'!$B$2:$D$210,3)&lt;=0,0,"*"))</f>
        <v>0</v>
      </c>
      <c r="K128" s="22"/>
      <c r="L128" s="304">
        <f>IF(VLOOKUP(GAS!N128,'GAS ASCII'!$B$2:$E$210,4)&gt;=500000,VLOOKUP(GAS!N128,'GAS ASCII'!$B$2:$E$210,4)/1000000,IF(VLOOKUP(GAS!N128,'GAS ASCII'!$B$2:$E$210,4)&lt;=0,"……………….","*"))</f>
        <v>2400.753</v>
      </c>
      <c r="M128" s="17"/>
      <c r="N128" t="s">
        <v>587</v>
      </c>
      <c r="O128" s="235"/>
    </row>
    <row r="129" spans="3:15" ht="15.75" customHeight="1">
      <c r="C129" s="6" t="s">
        <v>79</v>
      </c>
      <c r="H129" s="304">
        <f>IF(VLOOKUP(GAS!N129,'GAS ASCII'!$B$2:$C$210,2)&gt;=500000,VLOOKUP(GAS!N129,'GAS ASCII'!$B$2:$C$210,2)/1000000,IF(VLOOKUP(GAS!N129,'GAS ASCII'!$B$2:$C$210,2)&lt;=0,"……………….","*"))</f>
        <v>6.77</v>
      </c>
      <c r="I129" s="17"/>
      <c r="J129" s="304">
        <f>IF(VLOOKUP(GAS!N129,'GAS ASCII'!$B$2:$D$210,3)&gt;=500000,VLOOKUP(GAS!N129,'GAS ASCII'!$B$2:$D$210,3)/-1000000,IF(VLOOKUP(GAS!N129,'GAS ASCII'!$B$2:$D$210,3)&lt;=0,0,"*"))</f>
        <v>0</v>
      </c>
      <c r="K129" s="22"/>
      <c r="L129" s="304">
        <f>IF(VLOOKUP(GAS!N129,'GAS ASCII'!$B$2:$E$210,4)&gt;=500000,VLOOKUP(GAS!N129,'GAS ASCII'!$B$2:$E$210,4)/1000000,IF(VLOOKUP(GAS!N129,'GAS ASCII'!$B$2:$E$210,4)&lt;=0,"……………….","*"))</f>
        <v>6.77</v>
      </c>
      <c r="M129" s="17"/>
      <c r="N129" t="s">
        <v>589</v>
      </c>
      <c r="O129" s="235"/>
    </row>
    <row r="130" spans="3:15" ht="15.75" customHeight="1">
      <c r="C130" s="6" t="s">
        <v>26</v>
      </c>
      <c r="H130" s="304">
        <f>IF(VLOOKUP(GAS!N130,'GAS ASCII'!$B$2:$C$210,2)&gt;=500000,VLOOKUP(GAS!N130,'GAS ASCII'!$B$2:$C$210,2)/1000000,IF(VLOOKUP(GAS!N130,'GAS ASCII'!$B$2:$C$210,2)&lt;=0,"……………….","*"))</f>
        <v>35.992</v>
      </c>
      <c r="I130" s="17"/>
      <c r="J130" s="304">
        <f>IF(VLOOKUP(GAS!N130,'GAS ASCII'!$B$2:$D$210,3)&gt;=500000,VLOOKUP(GAS!N130,'GAS ASCII'!$B$2:$D$210,3)/-1000000,IF(VLOOKUP(GAS!N130,'GAS ASCII'!$B$2:$D$210,3)&lt;=0,0,"*"))</f>
        <v>0</v>
      </c>
      <c r="K130" s="22"/>
      <c r="L130" s="304">
        <f>IF(VLOOKUP(GAS!N130,'GAS ASCII'!$B$2:$E$210,4)&gt;=500000,VLOOKUP(GAS!N130,'GAS ASCII'!$B$2:$E$210,4)/1000000,IF(VLOOKUP(GAS!N130,'GAS ASCII'!$B$2:$E$210,4)&lt;=0,"……………….","*"))</f>
        <v>35.992</v>
      </c>
      <c r="M130" s="17"/>
      <c r="N130" t="s">
        <v>591</v>
      </c>
      <c r="O130" s="235"/>
    </row>
    <row r="131" spans="3:15" ht="15.75" customHeight="1">
      <c r="C131" s="6" t="s">
        <v>1065</v>
      </c>
      <c r="H131" s="304">
        <f>IF(VLOOKUP(GAS!N131,'GAS ASCII'!$B$2:$C$210,2)&gt;=500000,VLOOKUP(GAS!N131,'GAS ASCII'!$B$2:$C$210,2)/1000000,IF(VLOOKUP(GAS!N131,'GAS ASCII'!$B$2:$C$210,2)&lt;=0,"……………….","*"))</f>
        <v>11.323</v>
      </c>
      <c r="I131" s="17"/>
      <c r="J131" s="304">
        <f>IF(VLOOKUP(GAS!N131,'GAS ASCII'!$B$2:$D$210,3)&gt;=500000,VLOOKUP(GAS!N131,'GAS ASCII'!$B$2:$D$210,3)/-1000000,IF(VLOOKUP(GAS!N131,'GAS ASCII'!$B$2:$D$210,3)&lt;=0,0,"*"))</f>
        <v>0</v>
      </c>
      <c r="K131" s="22"/>
      <c r="L131" s="304">
        <f>IF(VLOOKUP(GAS!N131,'GAS ASCII'!$B$2:$E$210,4)&gt;=500000,VLOOKUP(GAS!N131,'GAS ASCII'!$B$2:$E$210,4)/1000000,IF(VLOOKUP(GAS!N131,'GAS ASCII'!$B$2:$E$210,4)&lt;=0,"……………….","*"))</f>
        <v>11.323</v>
      </c>
      <c r="M131" s="17"/>
      <c r="N131" t="s">
        <v>593</v>
      </c>
      <c r="O131" s="235"/>
    </row>
    <row r="132" spans="3:15" ht="15.75" customHeight="1">
      <c r="C132" s="6" t="s">
        <v>440</v>
      </c>
      <c r="H132" s="304">
        <f>IF(VLOOKUP(GAS!N132,'GAS ASCII'!$B$2:$C$210,2)&gt;=500000,VLOOKUP(GAS!N132,'GAS ASCII'!$B$2:$C$210,2)/1000000,IF(VLOOKUP(GAS!N132,'GAS ASCII'!$B$2:$C$210,2)&lt;=0,"……………….","*"))</f>
        <v>9.872579589999999</v>
      </c>
      <c r="I132" s="17"/>
      <c r="J132" s="304">
        <f>IF(VLOOKUP(GAS!N132,'GAS ASCII'!$B$2:$D$210,3)&gt;=500000,VLOOKUP(GAS!N132,'GAS ASCII'!$B$2:$D$210,3)/-1000000,IF(VLOOKUP(GAS!N132,'GAS ASCII'!$B$2:$D$210,3)&lt;=0,0,"*"))</f>
        <v>0</v>
      </c>
      <c r="K132" s="22"/>
      <c r="L132" s="304">
        <f>IF(VLOOKUP(GAS!N132,'GAS ASCII'!$B$2:$E$210,4)&gt;=500000,VLOOKUP(GAS!N132,'GAS ASCII'!$B$2:$E$210,4)/1000000,IF(VLOOKUP(GAS!N132,'GAS ASCII'!$B$2:$E$210,4)&lt;=0,"……………….","*"))</f>
        <v>9.872579589999999</v>
      </c>
      <c r="M132" s="17"/>
      <c r="N132" t="s">
        <v>368</v>
      </c>
      <c r="O132" s="235"/>
    </row>
    <row r="133" spans="3:15" ht="30.75" customHeight="1">
      <c r="C133" s="6" t="s">
        <v>1061</v>
      </c>
      <c r="H133" s="304">
        <f>IF(VLOOKUP(GAS!N133,'GAS ASCII'!$B$2:$C$210,2)&gt;=500000,VLOOKUP(GAS!N133,'GAS ASCII'!$B$2:$C$210,2)/1000000,IF(VLOOKUP(GAS!N133,'GAS ASCII'!$B$2:$C$210,2)&lt;=0,"……………….","*"))</f>
        <v>2.5</v>
      </c>
      <c r="I133" s="17"/>
      <c r="J133" s="304">
        <f>IF(VLOOKUP(GAS!N133,'GAS ASCII'!$B$2:$D$210,3)&gt;=500000,VLOOKUP(GAS!N133,'GAS ASCII'!$B$2:$D$210,3)/-1000000,IF(VLOOKUP(GAS!N133,'GAS ASCII'!$B$2:$D$210,3)&lt;=0,0,"*"))</f>
        <v>0</v>
      </c>
      <c r="K133" s="22"/>
      <c r="L133" s="304">
        <f>IF(VLOOKUP(GAS!N133,'GAS ASCII'!$B$2:$E$210,4)&gt;=500000,VLOOKUP(GAS!N133,'GAS ASCII'!$B$2:$E$210,4)/1000000,IF(VLOOKUP(GAS!N133,'GAS ASCII'!$B$2:$E$210,4)&lt;=0,"……………….","*"))</f>
        <v>2.5</v>
      </c>
      <c r="M133" s="17"/>
      <c r="N133" t="s">
        <v>1056</v>
      </c>
      <c r="O133" s="235"/>
    </row>
    <row r="134" spans="3:15" ht="15.75" customHeight="1">
      <c r="C134" s="6" t="s">
        <v>1007</v>
      </c>
      <c r="H134" s="304"/>
      <c r="I134" s="17"/>
      <c r="J134" s="304"/>
      <c r="K134" s="22"/>
      <c r="L134" s="304"/>
      <c r="M134" s="17"/>
      <c r="O134" s="235"/>
    </row>
    <row r="135" spans="3:15" ht="15.75" customHeight="1">
      <c r="C135" s="6" t="s">
        <v>1090</v>
      </c>
      <c r="H135" s="304">
        <f>IF(VLOOKUP(GAS!N135,'GAS ASCII'!$B$2:$C$210,2)&gt;=500000,VLOOKUP(GAS!N135,'GAS ASCII'!$B$2:$C$210,2)/1000000,IF(VLOOKUP(GAS!N135,'GAS ASCII'!$B$2:$C$210,2)&lt;=0,"……………….","*"))</f>
        <v>28.166</v>
      </c>
      <c r="I135" s="17"/>
      <c r="J135" s="304">
        <f>IF(VLOOKUP(GAS!N135,'GAS ASCII'!$B$2:$D$210,3)&gt;=500000,VLOOKUP(GAS!N135,'GAS ASCII'!$B$2:$D$210,3)/-1000000,IF(VLOOKUP(GAS!N135,'GAS ASCII'!$B$2:$D$210,3)&lt;=0,0,"*"))</f>
        <v>0</v>
      </c>
      <c r="K135" s="22"/>
      <c r="L135" s="304">
        <f>IF(VLOOKUP(GAS!N135,'GAS ASCII'!$B$2:$E$210,4)&gt;=500000,VLOOKUP(GAS!N135,'GAS ASCII'!$B$2:$E$210,4)/1000000,IF(VLOOKUP(GAS!N135,'GAS ASCII'!$B$2:$E$210,4)&lt;=0,"……………….","*"))</f>
        <v>28.166</v>
      </c>
      <c r="M135" s="17"/>
      <c r="N135" t="s">
        <v>498</v>
      </c>
      <c r="O135" s="235"/>
    </row>
    <row r="136" spans="3:15" ht="30.75" customHeight="1">
      <c r="C136" s="6" t="s">
        <v>838</v>
      </c>
      <c r="H136" s="304">
        <f>IF(VLOOKUP(GAS!N136,'GAS ASCII'!$B$2:$C$210,2)&gt;=500000,VLOOKUP(GAS!N136,'GAS ASCII'!$B$2:$C$210,2)/1000000,IF(VLOOKUP(GAS!N136,'GAS ASCII'!$B$2:$C$210,2)&lt;=0,"……………….","*"))</f>
        <v>11.1</v>
      </c>
      <c r="I136" s="17"/>
      <c r="J136" s="304">
        <f>IF(VLOOKUP(GAS!N136,'GAS ASCII'!$B$2:$D$210,3)&gt;=500000,VLOOKUP(GAS!N136,'GAS ASCII'!$B$2:$D$210,3)/-1000000,IF(VLOOKUP(GAS!N136,'GAS ASCII'!$B$2:$D$210,3)&lt;=0,0,"*"))</f>
        <v>0</v>
      </c>
      <c r="K136" s="22"/>
      <c r="L136" s="304">
        <f>IF(VLOOKUP(GAS!N136,'GAS ASCII'!$B$2:$E$210,4)&gt;=500000,VLOOKUP(GAS!N136,'GAS ASCII'!$B$2:$E$210,4)/1000000,IF(VLOOKUP(GAS!N136,'GAS ASCII'!$B$2:$E$210,4)&lt;=0,"……………….","*"))</f>
        <v>11.1</v>
      </c>
      <c r="M136" s="17"/>
      <c r="N136" t="s">
        <v>923</v>
      </c>
      <c r="O136" s="235"/>
    </row>
    <row r="137" spans="3:15" ht="15.75" customHeight="1">
      <c r="C137" s="6" t="s">
        <v>82</v>
      </c>
      <c r="H137" s="304">
        <f>IF(VLOOKUP(GAS!N137,'GAS ASCII'!$B$2:$C$210,2)&gt;=500000,VLOOKUP(GAS!N137,'GAS ASCII'!$B$2:$C$210,2)/1000000,IF(VLOOKUP(GAS!N137,'GAS ASCII'!$B$2:$C$210,2)&lt;=0,"……………….","*"))</f>
        <v>6386.544</v>
      </c>
      <c r="I137" s="17"/>
      <c r="J137" s="304">
        <f>IF(VLOOKUP(GAS!N137,'GAS ASCII'!$B$2:$D$210,3)&gt;=500000,VLOOKUP(GAS!N137,'GAS ASCII'!$B$2:$D$210,3)/-1000000,IF(VLOOKUP(GAS!N137,'GAS ASCII'!$B$2:$D$210,3)&lt;=0,0,"*"))</f>
        <v>0</v>
      </c>
      <c r="K137" s="22"/>
      <c r="L137" s="304">
        <f>IF(VLOOKUP(GAS!N137,'GAS ASCII'!$B$2:$E$210,4)&gt;=500000,VLOOKUP(GAS!N137,'GAS ASCII'!$B$2:$E$210,4)/1000000,IF(VLOOKUP(GAS!N137,'GAS ASCII'!$B$2:$E$210,4)&lt;=0,"……………….","*"))</f>
        <v>6386.544</v>
      </c>
      <c r="M137" s="17"/>
      <c r="N137" t="s">
        <v>193</v>
      </c>
      <c r="O137" s="235"/>
    </row>
    <row r="138" spans="3:15" ht="15.75" customHeight="1">
      <c r="C138" s="6" t="s">
        <v>742</v>
      </c>
      <c r="H138" s="304">
        <f>IF(VLOOKUP(GAS!N138,'GAS ASCII'!$B$2:$C$210,2)&gt;=500000,VLOOKUP(GAS!N138,'GAS ASCII'!$B$2:$C$210,2)/1000000,IF(VLOOKUP(GAS!N138,'GAS ASCII'!$B$2:$C$210,2)&lt;=0,"……………….","*"))</f>
        <v>4.375</v>
      </c>
      <c r="I138" s="17"/>
      <c r="J138" s="304">
        <f>IF(VLOOKUP(GAS!N138,'GAS ASCII'!$B$2:$D$210,3)&gt;=500000,VLOOKUP(GAS!N138,'GAS ASCII'!$B$2:$D$210,3)/-1000000,IF(VLOOKUP(GAS!N138,'GAS ASCII'!$B$2:$D$210,3)&lt;=0,0,"*"))</f>
        <v>0</v>
      </c>
      <c r="K138" s="22"/>
      <c r="L138" s="304">
        <f>IF(VLOOKUP(GAS!N138,'GAS ASCII'!$B$2:$E$210,4)&gt;=500000,VLOOKUP(GAS!N138,'GAS ASCII'!$B$2:$E$210,4)/1000000,IF(VLOOKUP(GAS!N138,'GAS ASCII'!$B$2:$E$210,4)&lt;=0,"……………….","*"))</f>
        <v>4.375</v>
      </c>
      <c r="M138" s="17"/>
      <c r="N138" t="s">
        <v>195</v>
      </c>
      <c r="O138" s="235"/>
    </row>
    <row r="139" spans="3:15" ht="15.75" customHeight="1">
      <c r="C139" s="6" t="s">
        <v>259</v>
      </c>
      <c r="H139" s="304">
        <f>IF(VLOOKUP(GAS!N139,'GAS ASCII'!$B$2:$C$210,2)&gt;=500000,VLOOKUP(GAS!N139,'GAS ASCII'!$B$2:$C$210,2)/1000000,IF(VLOOKUP(GAS!N139,'GAS ASCII'!$B$2:$C$210,2)&lt;=0,"……………….","*"))</f>
        <v>1.063</v>
      </c>
      <c r="I139" s="17"/>
      <c r="J139" s="304">
        <f>IF(VLOOKUP(GAS!N139,'GAS ASCII'!$B$2:$D$210,3)&gt;=500000,VLOOKUP(GAS!N139,'GAS ASCII'!$B$2:$D$210,3)/-1000000,IF(VLOOKUP(GAS!N139,'GAS ASCII'!$B$2:$D$210,3)&lt;=0,0,"*"))</f>
        <v>0</v>
      </c>
      <c r="K139" s="22"/>
      <c r="L139" s="304">
        <f>IF(VLOOKUP(GAS!N139,'GAS ASCII'!$B$2:$E$210,4)&gt;=500000,VLOOKUP(GAS!N139,'GAS ASCII'!$B$2:$E$210,4)/1000000,IF(VLOOKUP(GAS!N139,'GAS ASCII'!$B$2:$E$210,4)&lt;=0,"……………….","*"))</f>
        <v>1.063</v>
      </c>
      <c r="M139" s="17"/>
      <c r="N139" t="s">
        <v>774</v>
      </c>
      <c r="O139" s="235"/>
    </row>
    <row r="140" spans="3:15" ht="15.75" customHeight="1">
      <c r="C140" s="6" t="s">
        <v>469</v>
      </c>
      <c r="H140" s="304">
        <f>IF(VLOOKUP(GAS!N140,'GAS ASCII'!$B$2:$C$210,2)&gt;=500000,VLOOKUP(GAS!N140,'GAS ASCII'!$B$2:$C$210,2)/1000000,IF(VLOOKUP(GAS!N140,'GAS ASCII'!$B$2:$C$210,2)&lt;=0,"……………….","*"))</f>
        <v>19.541</v>
      </c>
      <c r="I140" s="17"/>
      <c r="J140" s="304">
        <f>IF(VLOOKUP(GAS!N140,'GAS ASCII'!$B$2:$D$210,3)&gt;=500000,VLOOKUP(GAS!N140,'GAS ASCII'!$B$2:$D$210,3)/-1000000,IF(VLOOKUP(GAS!N140,'GAS ASCII'!$B$2:$D$210,3)&lt;=0,0,"*"))</f>
        <v>0</v>
      </c>
      <c r="K140" s="22"/>
      <c r="L140" s="304">
        <f>IF(VLOOKUP(GAS!N140,'GAS ASCII'!$B$2:$E$210,4)&gt;=500000,VLOOKUP(GAS!N140,'GAS ASCII'!$B$2:$E$210,4)/1000000,IF(VLOOKUP(GAS!N140,'GAS ASCII'!$B$2:$E$210,4)&lt;=0,"……………….","*"))</f>
        <v>19.541</v>
      </c>
      <c r="M140" s="17"/>
      <c r="N140" t="s">
        <v>776</v>
      </c>
      <c r="O140" s="235"/>
    </row>
    <row r="141" spans="3:15" ht="15.75" customHeight="1">
      <c r="C141" s="6" t="s">
        <v>924</v>
      </c>
      <c r="H141" s="304">
        <f>IF(VLOOKUP(GAS!N141,'GAS ASCII'!$B$2:$C$210,2)&gt;=500000,VLOOKUP(GAS!N141,'GAS ASCII'!$B$2:$C$210,2)/1000000,IF(VLOOKUP(GAS!N141,'GAS ASCII'!$B$2:$C$210,2)&lt;=0,"……………….","*"))</f>
        <v>1.354</v>
      </c>
      <c r="I141" s="17"/>
      <c r="J141" s="304">
        <f>IF(VLOOKUP(GAS!N141,'GAS ASCII'!$B$2:$D$210,3)&gt;=500000,VLOOKUP(GAS!N141,'GAS ASCII'!$B$2:$D$210,3)/-1000000,IF(VLOOKUP(GAS!N141,'GAS ASCII'!$B$2:$D$210,3)&lt;=0,0,"*"))</f>
        <v>0</v>
      </c>
      <c r="K141" s="22"/>
      <c r="L141" s="304">
        <f>IF(VLOOKUP(GAS!N141,'GAS ASCII'!$B$2:$E$210,4)&gt;=500000,VLOOKUP(GAS!N141,'GAS ASCII'!$B$2:$E$210,4)/1000000,IF(VLOOKUP(GAS!N141,'GAS ASCII'!$B$2:$E$210,4)&lt;=0,"……………….","*"))</f>
        <v>1.354</v>
      </c>
      <c r="M141" s="17"/>
      <c r="N141" t="s">
        <v>459</v>
      </c>
      <c r="O141" s="235"/>
    </row>
    <row r="142" spans="3:15" ht="15.75" customHeight="1">
      <c r="C142" s="6" t="s">
        <v>44</v>
      </c>
      <c r="H142" s="304">
        <f>IF(VLOOKUP(GAS!N142,'GAS ASCII'!$B$2:$C$210,2)&gt;=500000,VLOOKUP(GAS!N142,'GAS ASCII'!$B$2:$C$210,2)/1000000,IF(VLOOKUP(GAS!N142,'GAS ASCII'!$B$2:$C$210,2)&lt;=0,"……………….","*"))</f>
        <v>11.481</v>
      </c>
      <c r="I142" s="17"/>
      <c r="J142" s="304">
        <f>IF(VLOOKUP(GAS!N142,'GAS ASCII'!$B$2:$D$210,3)&gt;=500000,VLOOKUP(GAS!N142,'GAS ASCII'!$B$2:$D$210,3)/-1000000,IF(VLOOKUP(GAS!N142,'GAS ASCII'!$B$2:$D$210,3)&lt;=0,0,"*"))</f>
        <v>0</v>
      </c>
      <c r="K142" s="22"/>
      <c r="L142" s="304">
        <f>IF(VLOOKUP(GAS!N142,'GAS ASCII'!$B$2:$E$210,4)&gt;=500000,VLOOKUP(GAS!N142,'GAS ASCII'!$B$2:$E$210,4)/1000000,IF(VLOOKUP(GAS!N142,'GAS ASCII'!$B$2:$E$210,4)&lt;=0,"……………….","*"))</f>
        <v>11.481</v>
      </c>
      <c r="M142" s="17"/>
      <c r="N142" t="s">
        <v>778</v>
      </c>
      <c r="O142" s="235"/>
    </row>
    <row r="143" spans="3:15" ht="15.75" customHeight="1">
      <c r="C143" s="6" t="s">
        <v>739</v>
      </c>
      <c r="H143" s="304">
        <f>IF(VLOOKUP(GAS!N143,'GAS ASCII'!$B$2:$C$210,2)&gt;=500000,VLOOKUP(GAS!N143,'GAS ASCII'!$B$2:$C$210,2)/1000000,IF(VLOOKUP(GAS!N143,'GAS ASCII'!$B$2:$C$210,2)&lt;=0,"……………….","*"))</f>
        <v>18552.069</v>
      </c>
      <c r="I143" s="17"/>
      <c r="J143" s="304">
        <f>IF(VLOOKUP(GAS!N143,'GAS ASCII'!$B$2:$D$210,3)&gt;=500000,VLOOKUP(GAS!N143,'GAS ASCII'!$B$2:$D$210,3)/-1000000,IF(VLOOKUP(GAS!N143,'GAS ASCII'!$B$2:$D$210,3)&lt;=0,0,"*"))</f>
        <v>-7694.26</v>
      </c>
      <c r="K143" s="22"/>
      <c r="L143" s="304">
        <f>IF(VLOOKUP(GAS!N143,'GAS ASCII'!$B$2:$E$210,4)&gt;=500000,VLOOKUP(GAS!N143,'GAS ASCII'!$B$2:$E$210,4)/1000000,IF(VLOOKUP(GAS!N143,'GAS ASCII'!$B$2:$E$210,4)&lt;=0,"……………….","*"))</f>
        <v>10857.809</v>
      </c>
      <c r="M143" s="17"/>
      <c r="N143" t="s">
        <v>780</v>
      </c>
      <c r="O143" s="235"/>
    </row>
    <row r="144" spans="3:15" ht="15.75" customHeight="1">
      <c r="C144" s="6" t="s">
        <v>740</v>
      </c>
      <c r="H144" s="304">
        <f>IF(VLOOKUP(GAS!N144,'GAS ASCII'!$B$2:$C$210,2)&gt;=500000,VLOOKUP(GAS!N144,'GAS ASCII'!$B$2:$C$210,2)/1000000,IF(VLOOKUP(GAS!N144,'GAS ASCII'!$B$2:$C$210,2)&lt;=0,"……………….","*"))</f>
        <v>412.991</v>
      </c>
      <c r="I144" s="17"/>
      <c r="J144" s="304">
        <f>IF(VLOOKUP(GAS!N144,'GAS ASCII'!$B$2:$D$210,3)&gt;=500000,VLOOKUP(GAS!N144,'GAS ASCII'!$B$2:$D$210,3)/-1000000,IF(VLOOKUP(GAS!N144,'GAS ASCII'!$B$2:$D$210,3)&lt;=0,0,"*"))</f>
        <v>0</v>
      </c>
      <c r="K144" s="22"/>
      <c r="L144" s="304">
        <f>IF(VLOOKUP(GAS!N144,'GAS ASCII'!$B$2:$E$210,4)&gt;=500000,VLOOKUP(GAS!N144,'GAS ASCII'!$B$2:$E$210,4)/1000000,IF(VLOOKUP(GAS!N144,'GAS ASCII'!$B$2:$E$210,4)&lt;=0,"……………….","*"))</f>
        <v>412.991</v>
      </c>
      <c r="M144" s="17"/>
      <c r="N144" t="s">
        <v>903</v>
      </c>
      <c r="O144" s="235"/>
    </row>
    <row r="145" spans="3:15" ht="15.75" customHeight="1">
      <c r="C145" s="6" t="s">
        <v>207</v>
      </c>
      <c r="H145" s="304">
        <f>IF(VLOOKUP(GAS!N145,'GAS ASCII'!$B$2:$C$210,2)&gt;=500000,VLOOKUP(GAS!N145,'GAS ASCII'!$B$2:$C$210,2)/1000000,IF(VLOOKUP(GAS!N145,'GAS ASCII'!$B$2:$C$210,2)&lt;=0,"……………….","*"))</f>
        <v>65.832</v>
      </c>
      <c r="I145" s="17"/>
      <c r="J145" s="304">
        <f>IF(VLOOKUP(GAS!N145,'GAS ASCII'!$B$2:$D$210,3)&gt;=500000,VLOOKUP(GAS!N145,'GAS ASCII'!$B$2:$D$210,3)/-1000000,IF(VLOOKUP(GAS!N145,'GAS ASCII'!$B$2:$D$210,3)&lt;=0,0,"*"))</f>
        <v>0</v>
      </c>
      <c r="K145" s="22"/>
      <c r="L145" s="304">
        <f>IF(VLOOKUP(GAS!N145,'GAS ASCII'!$B$2:$E$210,4)&gt;=500000,VLOOKUP(GAS!N145,'GAS ASCII'!$B$2:$E$210,4)/1000000,IF(VLOOKUP(GAS!N145,'GAS ASCII'!$B$2:$E$210,4)&lt;=0,"……………….","*"))</f>
        <v>65.832</v>
      </c>
      <c r="M145" s="17"/>
      <c r="N145" t="s">
        <v>595</v>
      </c>
      <c r="O145" s="235"/>
    </row>
    <row r="146" spans="3:15" ht="15.75" customHeight="1">
      <c r="C146" s="6" t="s">
        <v>1008</v>
      </c>
      <c r="H146" s="304"/>
      <c r="I146" s="17"/>
      <c r="J146" s="304"/>
      <c r="K146" s="17"/>
      <c r="L146" s="304"/>
      <c r="M146" s="17"/>
      <c r="O146" s="235"/>
    </row>
    <row r="147" spans="3:15" ht="15.75" customHeight="1">
      <c r="C147" s="6" t="s">
        <v>208</v>
      </c>
      <c r="H147" s="304">
        <f>IF(VLOOKUP(GAS!N147,'GAS ASCII'!$B$2:$C$210,2)&gt;=500000,VLOOKUP(GAS!N147,'GAS ASCII'!$B$2:$C$210,2)/1000000,IF(VLOOKUP(GAS!N147,'GAS ASCII'!$B$2:$C$210,2)&lt;=0,"……………….","*"))</f>
        <v>180.398</v>
      </c>
      <c r="I147" s="17"/>
      <c r="J147" s="304">
        <f>IF(VLOOKUP(GAS!N147,'GAS ASCII'!$B$2:$D$210,3)&gt;=500000,VLOOKUP(GAS!N147,'GAS ASCII'!$B$2:$D$210,3)/-1000000,IF(VLOOKUP(GAS!N147,'GAS ASCII'!$B$2:$D$210,3)&lt;=0,0,"*"))</f>
        <v>0</v>
      </c>
      <c r="K147" s="22"/>
      <c r="L147" s="304">
        <f>IF(VLOOKUP(GAS!N147,'GAS ASCII'!$B$2:$E$210,4)&gt;=500000,VLOOKUP(GAS!N147,'GAS ASCII'!$B$2:$E$210,4)/1000000,IF(VLOOKUP(GAS!N147,'GAS ASCII'!$B$2:$E$210,4)&lt;=0,"……………….","*"))</f>
        <v>180.398</v>
      </c>
      <c r="M147" s="17"/>
      <c r="N147" t="s">
        <v>188</v>
      </c>
      <c r="O147" s="235"/>
    </row>
    <row r="148" spans="3:15" ht="15.75" customHeight="1">
      <c r="C148" s="6" t="s">
        <v>124</v>
      </c>
      <c r="H148" s="304">
        <f>IF(VLOOKUP(GAS!N148,'GAS ASCII'!$B$2:$C$210,2)&gt;=500000,VLOOKUP(GAS!N148,'GAS ASCII'!$B$2:$C$210,2)/1000000,IF(VLOOKUP(GAS!N148,'GAS ASCII'!$B$2:$C$210,2)&lt;=0,"……………….","*"))</f>
        <v>34739.250605</v>
      </c>
      <c r="I148" s="17"/>
      <c r="J148" s="304">
        <f>IF(VLOOKUP(GAS!N148,'GAS ASCII'!$B$2:$D$210,3)&gt;=500000,VLOOKUP(GAS!N148,'GAS ASCII'!$B$2:$D$210,3)/-1000000,IF(VLOOKUP(GAS!N148,'GAS ASCII'!$B$2:$D$210,3)&lt;=0,0,"*"))</f>
        <v>-3328.661</v>
      </c>
      <c r="K148" s="17"/>
      <c r="L148" s="304">
        <f>IF(VLOOKUP(GAS!N148,'GAS ASCII'!$B$2:$E$210,4)&gt;=500000,VLOOKUP(GAS!N148,'GAS ASCII'!$B$2:$E$210,4)/1000000,IF(VLOOKUP(GAS!N148,'GAS ASCII'!$B$2:$E$210,4)&lt;=0,"……………….","*"))</f>
        <v>31410.589605</v>
      </c>
      <c r="M148" s="17"/>
      <c r="N148" t="s">
        <v>190</v>
      </c>
      <c r="O148" s="235"/>
    </row>
    <row r="149" spans="3:15" ht="30.75" customHeight="1">
      <c r="C149" s="6" t="s">
        <v>561</v>
      </c>
      <c r="H149" s="304">
        <f>IF(VLOOKUP(GAS!N149,'GAS ASCII'!$B$2:$C$210,2)&gt;=500000,VLOOKUP(GAS!N149,'GAS ASCII'!$B$2:$C$210,2)/1000000,IF(VLOOKUP(GAS!N149,'GAS ASCII'!$B$2:$C$210,2)&lt;=0,"……………….","*"))</f>
        <v>767.803</v>
      </c>
      <c r="I149" s="17"/>
      <c r="J149" s="304" t="str">
        <f>IF(VLOOKUP(GAS!N149,'GAS ASCII'!$B$2:$D$210,3)&gt;=500000,VLOOKUP(GAS!N149,'GAS ASCII'!$B$2:$D$210,3)/-1000000,IF(VLOOKUP(GAS!N149,'GAS ASCII'!$B$2:$D$210,3)&lt;=0,0,"*"))</f>
        <v>*</v>
      </c>
      <c r="K149" s="22"/>
      <c r="L149" s="304">
        <f>IF(VLOOKUP(GAS!N149,'GAS ASCII'!$B$2:$E$210,4)&gt;=500000,VLOOKUP(GAS!N149,'GAS ASCII'!$B$2:$E$210,4)/1000000,IF(VLOOKUP(GAS!N149,'GAS ASCII'!$B$2:$E$210,4)&lt;=0,"……………….","*"))</f>
        <v>767.457</v>
      </c>
      <c r="M149" s="17"/>
      <c r="N149" t="s">
        <v>191</v>
      </c>
      <c r="O149" s="235"/>
    </row>
    <row r="150" spans="3:15" ht="15.75" customHeight="1">
      <c r="C150" s="6" t="s">
        <v>428</v>
      </c>
      <c r="H150" s="304" t="str">
        <f>IF(VLOOKUP(GAS!N150,'GAS ASCII'!$B$2:$C$210,2)&gt;=500000,VLOOKUP(GAS!N150,'GAS ASCII'!$B$2:$C$210,2)/1000000,IF(VLOOKUP(GAS!N150,'GAS ASCII'!$B$2:$C$210,2)&lt;=0,"……………….","*"))</f>
        <v>*</v>
      </c>
      <c r="I150" s="17"/>
      <c r="J150" s="304">
        <f>IF(VLOOKUP(GAS!N150,'GAS ASCII'!$B$2:$D$210,3)&gt;=500000,VLOOKUP(GAS!N150,'GAS ASCII'!$B$2:$D$210,3)/-1000000,IF(VLOOKUP(GAS!N150,'GAS ASCII'!$B$2:$D$210,3)&lt;=0,0,"*"))</f>
        <v>0</v>
      </c>
      <c r="K150" s="22"/>
      <c r="L150" s="304" t="str">
        <f>IF(VLOOKUP(GAS!N150,'GAS ASCII'!$B$2:$E$210,4)&gt;=500000,VLOOKUP(GAS!N150,'GAS ASCII'!$B$2:$E$210,4)/1000000,IF(VLOOKUP(GAS!N150,'GAS ASCII'!$B$2:$E$210,4)&lt;=0,"……………….","*"))</f>
        <v>*</v>
      </c>
      <c r="M150" s="17"/>
      <c r="N150" t="s">
        <v>1071</v>
      </c>
      <c r="O150" s="235"/>
    </row>
    <row r="151" spans="3:15" ht="15.75" customHeight="1">
      <c r="C151" s="6" t="s">
        <v>385</v>
      </c>
      <c r="H151" s="304">
        <f>IF(VLOOKUP(GAS!N151,'GAS ASCII'!$B$2:$C$210,2)&gt;=500000,VLOOKUP(GAS!N151,'GAS ASCII'!$B$2:$C$210,2)/1000000,IF(VLOOKUP(GAS!N151,'GAS ASCII'!$B$2:$C$210,2)&lt;=0,"……………….","*"))</f>
        <v>54.559</v>
      </c>
      <c r="I151" s="17"/>
      <c r="J151" s="304">
        <f>IF(VLOOKUP(GAS!N151,'GAS ASCII'!$B$2:$D$210,3)&gt;=500000,VLOOKUP(GAS!N151,'GAS ASCII'!$B$2:$D$210,3)/-1000000,IF(VLOOKUP(GAS!N151,'GAS ASCII'!$B$2:$D$210,3)&lt;=0,0,"*"))</f>
        <v>0</v>
      </c>
      <c r="K151" s="22"/>
      <c r="L151" s="304">
        <f>IF(VLOOKUP(GAS!N151,'GAS ASCII'!$B$2:$E$210,4)&gt;=500000,VLOOKUP(GAS!N151,'GAS ASCII'!$B$2:$E$210,4)/1000000,IF(VLOOKUP(GAS!N151,'GAS ASCII'!$B$2:$E$210,4)&lt;=0,"……………….","*"))</f>
        <v>54.559</v>
      </c>
      <c r="M151" s="17"/>
      <c r="N151" t="s">
        <v>987</v>
      </c>
      <c r="O151" s="235"/>
    </row>
    <row r="152" spans="3:15" ht="15.75" customHeight="1">
      <c r="C152" s="6" t="s">
        <v>235</v>
      </c>
      <c r="H152" s="304">
        <f>IF(VLOOKUP(GAS!N152,'GAS ASCII'!$B$2:$C$210,2)&gt;=500000,VLOOKUP(GAS!N152,'GAS ASCII'!$B$2:$C$210,2)/1000000,IF(VLOOKUP(GAS!N152,'GAS ASCII'!$B$2:$C$210,2)&lt;=0,"……………….","*"))</f>
        <v>27.483</v>
      </c>
      <c r="I152" s="17"/>
      <c r="J152" s="304">
        <f>IF(VLOOKUP(GAS!N152,'GAS ASCII'!$B$2:$D$210,3)&gt;=500000,VLOOKUP(GAS!N152,'GAS ASCII'!$B$2:$D$210,3)/-1000000,IF(VLOOKUP(GAS!N152,'GAS ASCII'!$B$2:$D$210,3)&lt;=0,0,"*"))</f>
        <v>0</v>
      </c>
      <c r="K152" s="22"/>
      <c r="L152" s="304">
        <f>IF(VLOOKUP(GAS!N152,'GAS ASCII'!$B$2:$E$210,4)&gt;=500000,VLOOKUP(GAS!N152,'GAS ASCII'!$B$2:$E$210,4)/1000000,IF(VLOOKUP(GAS!N152,'GAS ASCII'!$B$2:$E$210,4)&lt;=0,"……………….","*"))</f>
        <v>27.483</v>
      </c>
      <c r="M152" s="17"/>
      <c r="N152" t="s">
        <v>142</v>
      </c>
      <c r="O152" s="235"/>
    </row>
    <row r="153" spans="3:15" ht="15.75" customHeight="1">
      <c r="C153" s="6" t="s">
        <v>43</v>
      </c>
      <c r="H153" s="304"/>
      <c r="I153" s="17"/>
      <c r="J153" s="304"/>
      <c r="K153" s="17"/>
      <c r="L153" s="304"/>
      <c r="M153" s="17"/>
      <c r="O153" s="235"/>
    </row>
    <row r="154" spans="3:15" ht="15.75" customHeight="1">
      <c r="C154" s="6" t="s">
        <v>783</v>
      </c>
      <c r="H154" s="304">
        <f>IF(VLOOKUP(GAS!N154,'GAS ASCII'!$B$2:$C$210,2)&gt;=500000,VLOOKUP(GAS!N154,'GAS ASCII'!$B$2:$C$210,2)/1000000,IF(VLOOKUP(GAS!N154,'GAS ASCII'!$B$2:$C$210,2)&lt;=0,"……………….","*"))</f>
        <v>3941.074</v>
      </c>
      <c r="I154" s="17"/>
      <c r="J154" s="304">
        <f>IF(VLOOKUP(GAS!N154,'GAS ASCII'!$B$2:$D$210,3)&gt;=500000,VLOOKUP(GAS!N154,'GAS ASCII'!$B$2:$D$210,3)/-1000000,IF(VLOOKUP(GAS!N154,'GAS ASCII'!$B$2:$D$210,3)&lt;=0,0,"*"))</f>
        <v>-43.977</v>
      </c>
      <c r="K154" s="17"/>
      <c r="L154" s="304">
        <f>IF(VLOOKUP(GAS!N154,'GAS ASCII'!$B$2:$E$210,4)&gt;=500000,VLOOKUP(GAS!N154,'GAS ASCII'!$B$2:$E$210,4)/1000000,IF(VLOOKUP(GAS!N154,'GAS ASCII'!$B$2:$E$210,4)&lt;=0,"……………….","*"))</f>
        <v>3897.097</v>
      </c>
      <c r="M154" s="17"/>
      <c r="N154" t="s">
        <v>144</v>
      </c>
      <c r="O154" s="235"/>
    </row>
    <row r="155" spans="3:15" ht="15.75" customHeight="1">
      <c r="C155" s="6"/>
      <c r="H155" s="304"/>
      <c r="I155" s="17"/>
      <c r="J155" s="304"/>
      <c r="K155" s="17"/>
      <c r="L155" s="304"/>
      <c r="M155" s="17"/>
      <c r="O155" s="235"/>
    </row>
    <row r="156" spans="3:15" ht="15.75" customHeight="1">
      <c r="C156" s="6" t="s">
        <v>1089</v>
      </c>
      <c r="H156" s="304">
        <f>IF(VLOOKUP(GAS!N156,'GAS ASCII'!$B$2:$C$210,2)&gt;=500000,VLOOKUP(GAS!N156,'GAS ASCII'!$B$2:$C$210,2)/1000000,IF(VLOOKUP(GAS!N156,'GAS ASCII'!$B$2:$C$210,2)&lt;=0,"……………….","*"))</f>
        <v>10.041</v>
      </c>
      <c r="I156" s="17"/>
      <c r="J156" s="304">
        <f>IF(VLOOKUP(GAS!N156,'GAS ASCII'!$B$2:$D$210,3)&gt;=500000,VLOOKUP(GAS!N156,'GAS ASCII'!$B$2:$D$210,3)/-1000000,IF(VLOOKUP(GAS!N156,'GAS ASCII'!$B$2:$D$210,3)&lt;=0,0,"*"))</f>
        <v>0</v>
      </c>
      <c r="K156" s="22"/>
      <c r="L156" s="304">
        <f>IF(VLOOKUP(GAS!N156,'GAS ASCII'!$B$2:$E$210,4)&gt;=500000,VLOOKUP(GAS!N156,'GAS ASCII'!$B$2:$E$210,4)/1000000,IF(VLOOKUP(GAS!N156,'GAS ASCII'!$B$2:$E$210,4)&lt;=0,"……………….","*"))</f>
        <v>10.041</v>
      </c>
      <c r="M156" s="17"/>
      <c r="N156" t="s">
        <v>1084</v>
      </c>
      <c r="O156" s="235"/>
    </row>
    <row r="157" spans="3:15" ht="15.75" customHeight="1">
      <c r="C157" s="6" t="s">
        <v>860</v>
      </c>
      <c r="H157" s="304">
        <f>IF(VLOOKUP(GAS!N157,'GAS ASCII'!$B$2:$C$210,2)&gt;=500000,VLOOKUP(GAS!N157,'GAS ASCII'!$B$2:$C$210,2)/1000000,IF(VLOOKUP(GAS!N157,'GAS ASCII'!$B$2:$C$210,2)&lt;=0,"……………….","*"))</f>
        <v>76.539</v>
      </c>
      <c r="I157" s="17"/>
      <c r="J157" s="304">
        <f>IF(VLOOKUP(GAS!N157,'GAS ASCII'!$B$2:$D$210,3)&gt;=500000,VLOOKUP(GAS!N157,'GAS ASCII'!$B$2:$D$210,3)/-1000000,IF(VLOOKUP(GAS!N157,'GAS ASCII'!$B$2:$D$210,3)&lt;=0,0,"*"))</f>
        <v>0</v>
      </c>
      <c r="K157" s="22"/>
      <c r="L157" s="304">
        <f>IF(VLOOKUP(GAS!N157,'GAS ASCII'!$B$2:$E$210,4)&gt;=500000,VLOOKUP(GAS!N157,'GAS ASCII'!$B$2:$E$210,4)/1000000,IF(VLOOKUP(GAS!N157,'GAS ASCII'!$B$2:$E$210,4)&lt;=0,"……………….","*"))</f>
        <v>76.539</v>
      </c>
      <c r="M157" s="17"/>
      <c r="N157" t="s">
        <v>146</v>
      </c>
      <c r="O157" s="235"/>
    </row>
    <row r="158" spans="3:15" ht="15.75" customHeight="1">
      <c r="C158" s="6" t="s">
        <v>127</v>
      </c>
      <c r="H158" s="304" t="str">
        <f>IF(VLOOKUP(GAS!N158,'GAS ASCII'!$B$2:$C$210,2)&gt;=500000,VLOOKUP(GAS!N158,'GAS ASCII'!$B$2:$C$210,2)/1000000,IF(VLOOKUP(GAS!N158,'GAS ASCII'!$B$2:$C$210,2)&lt;=0,"……………….","*"))</f>
        <v>*</v>
      </c>
      <c r="I158" s="17"/>
      <c r="J158" s="304">
        <f>IF(VLOOKUP(GAS!N158,'GAS ASCII'!$B$2:$D$210,3)&gt;=500000,VLOOKUP(GAS!N158,'GAS ASCII'!$B$2:$D$210,3)/-1000000,IF(VLOOKUP(GAS!N158,'GAS ASCII'!$B$2:$D$210,3)&lt;=0,0,"*"))</f>
        <v>0</v>
      </c>
      <c r="K158" s="22"/>
      <c r="L158" s="304" t="str">
        <f>IF(VLOOKUP(GAS!N158,'GAS ASCII'!$B$2:$E$210,4)&gt;=500000,VLOOKUP(GAS!N158,'GAS ASCII'!$B$2:$E$210,4)/1000000,IF(VLOOKUP(GAS!N158,'GAS ASCII'!$B$2:$E$210,4)&lt;=0,"……………….","*"))</f>
        <v>*</v>
      </c>
      <c r="M158" s="17"/>
      <c r="N158" t="s">
        <v>398</v>
      </c>
      <c r="O158" s="235"/>
    </row>
    <row r="159" spans="1:15" ht="15.75" customHeight="1" thickBot="1">
      <c r="A159" s="77"/>
      <c r="B159" s="77"/>
      <c r="C159" s="79"/>
      <c r="D159" s="77"/>
      <c r="E159" s="77"/>
      <c r="F159" s="77"/>
      <c r="G159" s="77"/>
      <c r="H159" s="352"/>
      <c r="I159" s="80"/>
      <c r="J159" s="352"/>
      <c r="K159" s="81"/>
      <c r="L159" s="352"/>
      <c r="M159" s="80"/>
      <c r="O159" s="235"/>
    </row>
    <row r="160" spans="1:13" s="367" customFormat="1" ht="27.75" customHeight="1" thickBot="1" thickTop="1">
      <c r="A160" s="407"/>
      <c r="B160" s="369" t="str">
        <f>(Marketable!B83)</f>
        <v>TABLE III - DETAIL OF TREASURY SECURITIES OUTSTANDING, JUNE 30, 2005 -- Continued</v>
      </c>
      <c r="C160" s="369"/>
      <c r="D160" s="369"/>
      <c r="E160" s="370"/>
      <c r="F160" s="370"/>
      <c r="G160" s="370"/>
      <c r="H160" s="370"/>
      <c r="I160" s="372"/>
      <c r="J160" s="370"/>
      <c r="K160" s="370"/>
      <c r="L160" s="370"/>
      <c r="M160" s="369">
        <v>9</v>
      </c>
    </row>
    <row r="161" spans="8:13" ht="30.75" customHeight="1" thickTop="1">
      <c r="H161" s="12" t="s">
        <v>101</v>
      </c>
      <c r="I161" s="2"/>
      <c r="J161" s="2"/>
      <c r="K161" s="2"/>
      <c r="L161" s="2"/>
      <c r="M161" s="2"/>
    </row>
    <row r="162" spans="1:13" ht="15.75" customHeight="1">
      <c r="A162" s="2" t="s">
        <v>102</v>
      </c>
      <c r="B162" s="2"/>
      <c r="C162" s="2"/>
      <c r="D162" s="2"/>
      <c r="E162" s="2"/>
      <c r="F162" s="2"/>
      <c r="G162" s="2"/>
      <c r="H162" s="12" t="s">
        <v>62</v>
      </c>
      <c r="I162" s="2"/>
      <c r="J162" s="2"/>
      <c r="K162" s="2"/>
      <c r="L162" s="2"/>
      <c r="M162" s="2"/>
    </row>
    <row r="163" spans="1:13" ht="16.5" customHeight="1">
      <c r="A163" s="11"/>
      <c r="B163" s="11"/>
      <c r="C163" s="11"/>
      <c r="D163" s="11"/>
      <c r="E163" s="11"/>
      <c r="F163" s="11"/>
      <c r="G163" s="11"/>
      <c r="H163" s="29" t="s">
        <v>106</v>
      </c>
      <c r="I163" s="30"/>
      <c r="J163" s="29" t="s">
        <v>83</v>
      </c>
      <c r="K163" s="30"/>
      <c r="L163" s="29" t="s">
        <v>65</v>
      </c>
      <c r="M163" s="30"/>
    </row>
    <row r="164" spans="2:12" ht="33.75" customHeight="1">
      <c r="B164" s="4" t="s">
        <v>214</v>
      </c>
      <c r="E164" s="35"/>
      <c r="H164" s="10"/>
      <c r="J164" s="10"/>
      <c r="L164" s="10"/>
    </row>
    <row r="165" spans="2:15" ht="18" customHeight="1">
      <c r="B165" s="64" t="s">
        <v>477</v>
      </c>
      <c r="E165" s="35"/>
      <c r="H165" s="10"/>
      <c r="J165" s="10"/>
      <c r="L165" s="10"/>
      <c r="O165" s="235"/>
    </row>
    <row r="166" spans="3:15" ht="15.75" customHeight="1">
      <c r="C166" s="6" t="s">
        <v>1100</v>
      </c>
      <c r="H166" s="304">
        <f>IF(VLOOKUP(GAS!N166,'GAS ASCII'!$B$2:$C$210,2)&gt;=500000,VLOOKUP(GAS!N166,'GAS ASCII'!$B$2:$C$210,2)/1000000,IF(VLOOKUP(GAS!N166,'GAS ASCII'!$B$2:$C$210,2)&lt;=0,"……………….","*"))</f>
        <v>936.382</v>
      </c>
      <c r="I166" s="17"/>
      <c r="J166" s="304">
        <f>IF(VLOOKUP(GAS!N166,'GAS ASCII'!$B$2:$D$210,3)&gt;=500000,VLOOKUP(GAS!N166,'GAS ASCII'!$B$2:$D$210,3)/-1000000,IF(VLOOKUP(GAS!N166,'GAS ASCII'!$B$2:$D$210,3)&lt;=0,0,"*"))</f>
        <v>0</v>
      </c>
      <c r="K166" s="2"/>
      <c r="L166" s="304">
        <f>IF(VLOOKUP(GAS!N166,'GAS ASCII'!$B$2:$E$210,4)&gt;=500000,VLOOKUP(GAS!N166,'GAS ASCII'!$B$2:$E$210,4)/1000000,IF(VLOOKUP(GAS!N166,'GAS ASCII'!$B$2:$E$210,4)&lt;=0,"……………….","*"))</f>
        <v>936.382</v>
      </c>
      <c r="M166" s="17"/>
      <c r="N166" t="s">
        <v>148</v>
      </c>
      <c r="O166" s="235"/>
    </row>
    <row r="167" spans="3:15" ht="15.75" customHeight="1">
      <c r="C167" s="6" t="s">
        <v>1102</v>
      </c>
      <c r="H167" s="304">
        <f>IF(VLOOKUP(GAS!N167,'GAS ASCII'!$B$2:$C$210,2)&gt;=500000,VLOOKUP(GAS!N167,'GAS ASCII'!$B$2:$C$210,2)/1000000,IF(VLOOKUP(GAS!N167,'GAS ASCII'!$B$2:$C$210,2)&lt;=0,"……………….","*"))</f>
        <v>28187.79092449</v>
      </c>
      <c r="I167" s="17"/>
      <c r="J167" s="304">
        <f>IF(VLOOKUP(GAS!N167,'GAS ASCII'!$B$2:$D$210,3)&gt;=500000,VLOOKUP(GAS!N167,'GAS ASCII'!$B$2:$D$210,3)/-1000000,IF(VLOOKUP(GAS!N167,'GAS ASCII'!$B$2:$D$210,3)&lt;=0,0,"*"))</f>
        <v>-15285.145</v>
      </c>
      <c r="K167" s="17"/>
      <c r="L167" s="304">
        <f>IF(VLOOKUP(GAS!N167,'GAS ASCII'!$B$2:$E$210,4)&gt;=500000,VLOOKUP(GAS!N167,'GAS ASCII'!$B$2:$E$210,4)/1000000,IF(VLOOKUP(GAS!N167,'GAS ASCII'!$B$2:$E$210,4)&lt;=0,"……………….","*"))</f>
        <v>12902.64592449</v>
      </c>
      <c r="M167" s="17"/>
      <c r="N167" t="s">
        <v>150</v>
      </c>
      <c r="O167" s="235"/>
    </row>
    <row r="168" spans="3:15" ht="15.75" customHeight="1">
      <c r="C168" s="6" t="s">
        <v>1062</v>
      </c>
      <c r="H168" s="304">
        <f>IF(VLOOKUP(GAS!N168,'GAS ASCII'!$B$2:$C$210,2)&gt;=500000,VLOOKUP(GAS!N168,'GAS ASCII'!$B$2:$C$210,2)/1000000,IF(VLOOKUP(GAS!N168,'GAS ASCII'!$B$2:$C$210,2)&lt;=0,"……………….","*"))</f>
        <v>0.5</v>
      </c>
      <c r="I168" s="17"/>
      <c r="J168" s="304">
        <f>IF(VLOOKUP(GAS!N168,'GAS ASCII'!$B$2:$D$210,3)&gt;=500000,VLOOKUP(GAS!N168,'GAS ASCII'!$B$2:$D$210,3)/-1000000,IF(VLOOKUP(GAS!N168,'GAS ASCII'!$B$2:$D$210,3)&lt;=0,0,"*"))</f>
        <v>0</v>
      </c>
      <c r="K168" s="17"/>
      <c r="L168" s="304">
        <f>IF(VLOOKUP(GAS!N168,'GAS ASCII'!$B$2:$E$210,4)&gt;=500000,VLOOKUP(GAS!N168,'GAS ASCII'!$B$2:$E$210,4)/1000000,IF(VLOOKUP(GAS!N168,'GAS ASCII'!$B$2:$E$210,4)&lt;=0,"……………….","*"))</f>
        <v>0.5</v>
      </c>
      <c r="M168" s="17"/>
      <c r="N168" t="s">
        <v>1058</v>
      </c>
      <c r="O168" s="235"/>
    </row>
    <row r="169" spans="3:15" ht="15.75" customHeight="1">
      <c r="C169" s="6" t="s">
        <v>166</v>
      </c>
      <c r="H169" s="304">
        <f>IF(VLOOKUP(GAS!N169,'GAS ASCII'!$B$2:$C$210,2)&gt;=500000,VLOOKUP(GAS!N169,'GAS ASCII'!$B$2:$C$210,2)/1000000,IF(VLOOKUP(GAS!N169,'GAS ASCII'!$B$2:$C$210,2)&lt;=0,"……………….","*"))</f>
        <v>3403.4</v>
      </c>
      <c r="I169" s="17"/>
      <c r="J169" s="304">
        <f>IF(VLOOKUP(GAS!N169,'GAS ASCII'!$B$2:$D$210,3)&gt;=500000,VLOOKUP(GAS!N169,'GAS ASCII'!$B$2:$D$210,3)/-1000000,IF(VLOOKUP(GAS!N169,'GAS ASCII'!$B$2:$D$210,3)&lt;=0,0,"*"))</f>
        <v>0</v>
      </c>
      <c r="K169" s="22"/>
      <c r="L169" s="304">
        <f>IF(VLOOKUP(GAS!N169,'GAS ASCII'!$B$2:$E$210,4)&gt;=500000,VLOOKUP(GAS!N169,'GAS ASCII'!$B$2:$E$210,4)/1000000,IF(VLOOKUP(GAS!N169,'GAS ASCII'!$B$2:$E$210,4)&lt;=0,"……………….","*"))</f>
        <v>3403.4</v>
      </c>
      <c r="M169" s="17"/>
      <c r="N169" t="s">
        <v>152</v>
      </c>
      <c r="O169" s="235"/>
    </row>
    <row r="170" spans="3:15" s="50" customFormat="1" ht="15.75" customHeight="1">
      <c r="C170" s="364" t="s">
        <v>27</v>
      </c>
      <c r="H170" s="304">
        <f>IF(VLOOKUP(GAS!N170,'GAS ASCII'!$B$2:$C$210,2)&gt;=500000,VLOOKUP(GAS!N170,'GAS ASCII'!$B$2:$C$210,2)/1000000,IF(VLOOKUP(GAS!N170,'GAS ASCII'!$B$2:$C$210,2)&lt;=0,"……………….","*"))</f>
        <v>39.629</v>
      </c>
      <c r="I170" s="85"/>
      <c r="J170" s="304">
        <f>IF(VLOOKUP(GAS!N170,'GAS ASCII'!$B$2:$D$210,3)&gt;=500000,VLOOKUP(GAS!N170,'GAS ASCII'!$B$2:$D$210,3)/-1000000,IF(VLOOKUP(GAS!N170,'GAS ASCII'!$B$2:$D$210,3)&lt;=0,0,"*"))</f>
        <v>0</v>
      </c>
      <c r="K170" s="86"/>
      <c r="L170" s="304">
        <f>IF(VLOOKUP(GAS!N170,'GAS ASCII'!$B$2:$E$210,4)&gt;=500000,VLOOKUP(GAS!N170,'GAS ASCII'!$B$2:$E$210,4)/1000000,IF(VLOOKUP(GAS!N170,'GAS ASCII'!$B$2:$E$210,4)&lt;=0,"……………….","*"))</f>
        <v>39.629</v>
      </c>
      <c r="M170" s="85"/>
      <c r="N170" s="50" t="s">
        <v>154</v>
      </c>
      <c r="O170" s="365"/>
    </row>
    <row r="171" spans="3:15" ht="15.75" customHeight="1">
      <c r="C171" s="6" t="s">
        <v>737</v>
      </c>
      <c r="H171" s="304">
        <f>IF(VLOOKUP(GAS!N171,'GAS ASCII'!$B$2:$C$210,2)&gt;=500000,VLOOKUP(GAS!N171,'GAS ASCII'!$B$2:$C$210,2)/1000000,IF(VLOOKUP(GAS!N171,'GAS ASCII'!$B$2:$C$210,2)&lt;=0,"……………….","*"))</f>
        <v>219.8</v>
      </c>
      <c r="I171" s="17"/>
      <c r="J171" s="304">
        <f>IF(VLOOKUP(GAS!N171,'GAS ASCII'!$B$2:$D$210,3)&gt;=500000,VLOOKUP(GAS!N171,'GAS ASCII'!$B$2:$D$210,3)/-1000000,IF(VLOOKUP(GAS!N171,'GAS ASCII'!$B$2:$D$210,3)&lt;=0,0,"*"))</f>
        <v>0</v>
      </c>
      <c r="K171" s="22"/>
      <c r="L171" s="304">
        <f>IF(VLOOKUP(GAS!N171,'GAS ASCII'!$B$2:$E$210,4)&gt;=500000,VLOOKUP(GAS!N171,'GAS ASCII'!$B$2:$E$210,4)/1000000,IF(VLOOKUP(GAS!N171,'GAS ASCII'!$B$2:$E$210,4)&lt;=0,"……………….","*"))</f>
        <v>219.8</v>
      </c>
      <c r="M171" s="17"/>
      <c r="N171" t="s">
        <v>536</v>
      </c>
      <c r="O171" s="235"/>
    </row>
    <row r="172" spans="3:15" ht="15.75" customHeight="1">
      <c r="C172" s="6" t="s">
        <v>6</v>
      </c>
      <c r="H172" s="304">
        <f>IF(VLOOKUP(GAS!N172,'GAS ASCII'!$B$2:$C$210,2)&gt;=500000,VLOOKUP(GAS!N172,'GAS ASCII'!$B$2:$C$210,2)/1000000,IF(VLOOKUP(GAS!N172,'GAS ASCII'!$B$2:$C$210,2)&lt;=0,"……………….","*"))</f>
        <v>167.85679195</v>
      </c>
      <c r="I172" s="17"/>
      <c r="J172" s="304">
        <f>IF(VLOOKUP(GAS!N172,'GAS ASCII'!$B$2:$D$210,3)&gt;=500000,VLOOKUP(GAS!N172,'GAS ASCII'!$B$2:$D$210,3)/-1000000,IF(VLOOKUP(GAS!N172,'GAS ASCII'!$B$2:$D$210,3)&lt;=0,0,"*"))</f>
        <v>0</v>
      </c>
      <c r="K172" s="22"/>
      <c r="L172" s="304">
        <f>IF(VLOOKUP(GAS!N172,'GAS ASCII'!$B$2:$E$210,4)&gt;=500000,VLOOKUP(GAS!N172,'GAS ASCII'!$B$2:$E$210,4)/1000000,IF(VLOOKUP(GAS!N172,'GAS ASCII'!$B$2:$E$210,4)&lt;=0,"……………….","*"))</f>
        <v>167.85679195</v>
      </c>
      <c r="M172" s="17"/>
      <c r="N172" t="s">
        <v>504</v>
      </c>
      <c r="O172" s="235"/>
    </row>
    <row r="173" spans="3:15" ht="15.75" customHeight="1">
      <c r="C173" s="6" t="s">
        <v>132</v>
      </c>
      <c r="H173" s="304"/>
      <c r="I173" s="17"/>
      <c r="J173" s="304"/>
      <c r="K173" s="22"/>
      <c r="L173" s="304"/>
      <c r="M173" s="17"/>
      <c r="O173" s="235"/>
    </row>
    <row r="174" spans="3:15" ht="15.75" customHeight="1">
      <c r="C174" s="6" t="s">
        <v>1075</v>
      </c>
      <c r="H174" s="304">
        <f>IF(VLOOKUP(GAS!N174,'GAS ASCII'!$B$2:$C$210,2)&gt;=500000,VLOOKUP(GAS!N174,'GAS ASCII'!$B$2:$C$210,2)/1000000,IF(VLOOKUP(GAS!N174,'GAS ASCII'!$B$2:$C$210,2)&lt;=0,"……………….","*"))</f>
        <v>2.871</v>
      </c>
      <c r="I174" s="17"/>
      <c r="J174" s="304">
        <f>IF(VLOOKUP(GAS!N174,'GAS ASCII'!$B$2:$D$210,3)&gt;=500000,VLOOKUP(GAS!N174,'GAS ASCII'!$B$2:$D$210,3)/-1000000,IF(VLOOKUP(GAS!N174,'GAS ASCII'!$B$2:$D$210,3)&lt;=0,0,"*"))</f>
        <v>0</v>
      </c>
      <c r="K174" s="22"/>
      <c r="L174" s="304">
        <f>IF(VLOOKUP(GAS!N174,'GAS ASCII'!$B$2:$E$210,4)&gt;=500000,VLOOKUP(GAS!N174,'GAS ASCII'!$B$2:$E$210,4)/1000000,IF(VLOOKUP(GAS!N174,'GAS ASCII'!$B$2:$E$210,4)&lt;=0,"……………….","*"))</f>
        <v>2.871</v>
      </c>
      <c r="M174" s="17"/>
      <c r="N174" t="s">
        <v>447</v>
      </c>
      <c r="O174" s="235"/>
    </row>
    <row r="175" spans="3:15" ht="30.75" customHeight="1">
      <c r="C175" s="6" t="s">
        <v>28</v>
      </c>
      <c r="H175" s="304">
        <f>IF(VLOOKUP(GAS!N175,'GAS ASCII'!$B$2:$C$210,2)&gt;=500000,VLOOKUP(GAS!N175,'GAS ASCII'!$B$2:$C$210,2)/1000000,IF(VLOOKUP(GAS!N175,'GAS ASCII'!$B$2:$C$210,2)&lt;=0,"……………….","*"))</f>
        <v>759.956</v>
      </c>
      <c r="I175" s="17"/>
      <c r="J175" s="304">
        <f>IF(VLOOKUP(GAS!N175,'GAS ASCII'!$B$2:$D$210,3)&gt;=500000,VLOOKUP(GAS!N175,'GAS ASCII'!$B$2:$D$210,3)/-1000000,IF(VLOOKUP(GAS!N175,'GAS ASCII'!$B$2:$D$210,3)&lt;=0,0,"*"))</f>
        <v>-313.874</v>
      </c>
      <c r="K175" s="22"/>
      <c r="L175" s="304">
        <f>IF(VLOOKUP(GAS!N175,'GAS ASCII'!$B$2:$E$210,4)&gt;=500000,VLOOKUP(GAS!N175,'GAS ASCII'!$B$2:$E$210,4)/1000000,IF(VLOOKUP(GAS!N175,'GAS ASCII'!$B$2:$E$210,4)&lt;=0,"……………….","*"))</f>
        <v>446.082</v>
      </c>
      <c r="M175" s="17"/>
      <c r="N175" t="s">
        <v>449</v>
      </c>
      <c r="O175" s="235"/>
    </row>
    <row r="176" spans="3:15" ht="15.75" customHeight="1">
      <c r="C176" s="6" t="s">
        <v>133</v>
      </c>
      <c r="H176" s="304"/>
      <c r="I176" s="17"/>
      <c r="J176" s="304"/>
      <c r="K176" s="22"/>
      <c r="L176" s="304"/>
      <c r="M176" s="17"/>
      <c r="O176" s="235"/>
    </row>
    <row r="177" spans="3:15" ht="15.75" customHeight="1">
      <c r="C177" s="6" t="s">
        <v>236</v>
      </c>
      <c r="H177" s="304">
        <f>IF(VLOOKUP(GAS!N177,'GAS ASCII'!$B$2:$C$210,2)&gt;=500000,VLOOKUP(GAS!N177,'GAS ASCII'!$B$2:$C$210,2)/1000000,IF(VLOOKUP(GAS!N177,'GAS ASCII'!$B$2:$C$210,2)&lt;=0,"……………….","*"))</f>
        <v>37.766</v>
      </c>
      <c r="I177" s="17"/>
      <c r="J177" s="304">
        <f>IF(VLOOKUP(GAS!N177,'GAS ASCII'!$B$2:$D$210,3)&gt;=500000,VLOOKUP(GAS!N177,'GAS ASCII'!$B$2:$D$210,3)/-1000000,IF(VLOOKUP(GAS!N177,'GAS ASCII'!$B$2:$D$210,3)&lt;=0,0,"*"))</f>
        <v>0</v>
      </c>
      <c r="K177" s="22"/>
      <c r="L177" s="304">
        <f>IF(VLOOKUP(GAS!N177,'GAS ASCII'!$B$2:$E$210,4)&gt;=500000,VLOOKUP(GAS!N177,'GAS ASCII'!$B$2:$E$210,4)/1000000,IF(VLOOKUP(GAS!N177,'GAS ASCII'!$B$2:$E$210,4)&lt;=0,"……………….","*"))</f>
        <v>37.766</v>
      </c>
      <c r="M177" s="17"/>
      <c r="N177" t="s">
        <v>320</v>
      </c>
      <c r="O177" s="235"/>
    </row>
    <row r="178" spans="3:15" ht="15.75" customHeight="1">
      <c r="C178" s="6" t="s">
        <v>134</v>
      </c>
      <c r="H178" s="304"/>
      <c r="I178" s="17"/>
      <c r="J178" s="304"/>
      <c r="K178" s="22"/>
      <c r="L178" s="304"/>
      <c r="M178" s="17"/>
      <c r="O178" s="235"/>
    </row>
    <row r="179" spans="3:15" ht="15.75" customHeight="1">
      <c r="C179" s="6" t="s">
        <v>905</v>
      </c>
      <c r="H179" s="304">
        <f>IF(VLOOKUP(GAS!N179,'GAS ASCII'!$B$2:$C$210,2)&gt;=500000,VLOOKUP(GAS!N179,'GAS ASCII'!$B$2:$C$210,2)/1000000,IF(VLOOKUP(GAS!N179,'GAS ASCII'!$B$2:$C$210,2)&lt;=0,"……………….","*"))</f>
        <v>1.518</v>
      </c>
      <c r="I179" s="17"/>
      <c r="J179" s="304">
        <f>IF(VLOOKUP(GAS!N179,'GAS ASCII'!$B$2:$D$210,3)&gt;=500000,VLOOKUP(GAS!N179,'GAS ASCII'!$B$2:$D$210,3)/-1000000,IF(VLOOKUP(GAS!N179,'GAS ASCII'!$B$2:$D$210,3)&lt;=0,0,"*"))</f>
        <v>0</v>
      </c>
      <c r="K179" s="22"/>
      <c r="L179" s="304">
        <f>IF(VLOOKUP(GAS!N179,'GAS ASCII'!$B$2:$E$210,4)&gt;=500000,VLOOKUP(GAS!N179,'GAS ASCII'!$B$2:$E$210,4)/1000000,IF(VLOOKUP(GAS!N179,'GAS ASCII'!$B$2:$E$210,4)&lt;=0,"……………….","*"))</f>
        <v>1.518</v>
      </c>
      <c r="M179" s="17"/>
      <c r="N179" t="s">
        <v>835</v>
      </c>
      <c r="O179" s="235"/>
    </row>
    <row r="180" spans="3:15" ht="15.75" customHeight="1">
      <c r="C180" s="6" t="s">
        <v>7</v>
      </c>
      <c r="H180" s="304">
        <f>IF(VLOOKUP(GAS!N180,'GAS ASCII'!$B$2:$C$210,2)&gt;=500000,VLOOKUP(GAS!N180,'GAS ASCII'!$B$2:$C$210,2)/1000000,IF(VLOOKUP(GAS!N180,'GAS ASCII'!$B$2:$C$210,2)&lt;=0,"……………….","*"))</f>
        <v>15.712</v>
      </c>
      <c r="I180" s="17"/>
      <c r="J180" s="304">
        <f>IF(VLOOKUP(GAS!N180,'GAS ASCII'!$B$2:$D$210,3)&gt;=500000,VLOOKUP(GAS!N180,'GAS ASCII'!$B$2:$D$210,3)/-1000000,IF(VLOOKUP(GAS!N180,'GAS ASCII'!$B$2:$D$210,3)&lt;=0,0,"*"))</f>
        <v>0</v>
      </c>
      <c r="K180" s="22"/>
      <c r="L180" s="304">
        <f>IF(VLOOKUP(GAS!N180,'GAS ASCII'!$B$2:$E$210,4)&gt;=500000,VLOOKUP(GAS!N180,'GAS ASCII'!$B$2:$E$210,4)/1000000,IF(VLOOKUP(GAS!N180,'GAS ASCII'!$B$2:$E$210,4)&lt;=0,"……………….","*"))</f>
        <v>15.712</v>
      </c>
      <c r="M180" s="17"/>
      <c r="N180" t="s">
        <v>1094</v>
      </c>
      <c r="O180" s="235"/>
    </row>
    <row r="181" spans="3:15" ht="15.75" customHeight="1">
      <c r="C181" s="6" t="s">
        <v>427</v>
      </c>
      <c r="H181" s="304">
        <f>IF(VLOOKUP(GAS!N181,'GAS ASCII'!$B$2:$C$210,2)&gt;=500000,VLOOKUP(GAS!N181,'GAS ASCII'!$B$2:$C$210,2)/1000000,IF(VLOOKUP(GAS!N181,'GAS ASCII'!$B$2:$C$210,2)&lt;=0,"……………….","*"))</f>
        <v>2.589</v>
      </c>
      <c r="I181" s="17"/>
      <c r="J181" s="304">
        <f>IF(VLOOKUP(GAS!N181,'GAS ASCII'!$B$2:$D$210,3)&gt;=500000,VLOOKUP(GAS!N181,'GAS ASCII'!$B$2:$D$210,3)/-1000000,IF(VLOOKUP(GAS!N181,'GAS ASCII'!$B$2:$D$210,3)&lt;=0,0,"*"))</f>
        <v>0</v>
      </c>
      <c r="K181" s="22"/>
      <c r="L181" s="304">
        <f>IF(VLOOKUP(GAS!N181,'GAS ASCII'!$B$2:$E$210,4)&gt;=500000,VLOOKUP(GAS!N181,'GAS ASCII'!$B$2:$E$210,4)/1000000,IF(VLOOKUP(GAS!N181,'GAS ASCII'!$B$2:$E$210,4)&lt;=0,"……………….","*"))</f>
        <v>2.589</v>
      </c>
      <c r="M181" s="17"/>
      <c r="N181" t="s">
        <v>565</v>
      </c>
      <c r="O181" s="235"/>
    </row>
    <row r="182" spans="3:15" ht="15.75" customHeight="1">
      <c r="C182" s="6" t="s">
        <v>478</v>
      </c>
      <c r="H182" s="304"/>
      <c r="I182" s="17"/>
      <c r="J182" s="304"/>
      <c r="K182" s="22"/>
      <c r="L182" s="304"/>
      <c r="M182" s="17"/>
      <c r="O182" s="235"/>
    </row>
    <row r="183" spans="3:15" ht="15.75" customHeight="1">
      <c r="C183" s="6" t="s">
        <v>997</v>
      </c>
      <c r="H183" s="304">
        <f>IF(VLOOKUP(GAS!N183,'GAS ASCII'!$B$2:$C$210,2)&gt;=500000,VLOOKUP(GAS!N183,'GAS ASCII'!$B$2:$C$210,2)/1000000,IF(VLOOKUP(GAS!N183,'GAS ASCII'!$B$2:$C$210,2)&lt;=0,"……………….","*"))</f>
        <v>2.17</v>
      </c>
      <c r="I183" s="17"/>
      <c r="J183" s="304">
        <f>IF(VLOOKUP(GAS!N183,'GAS ASCII'!$B$2:$D$210,3)&gt;=500000,VLOOKUP(GAS!N183,'GAS ASCII'!$B$2:$D$210,3)/-1000000,IF(VLOOKUP(GAS!N183,'GAS ASCII'!$B$2:$D$210,3)&lt;=0,0,"*"))</f>
        <v>0</v>
      </c>
      <c r="K183" s="22"/>
      <c r="L183" s="304">
        <f>IF(VLOOKUP(GAS!N183,'GAS ASCII'!$B$2:$E$210,4)&gt;=500000,VLOOKUP(GAS!N183,'GAS ASCII'!$B$2:$E$210,4)/1000000,IF(VLOOKUP(GAS!N183,'GAS ASCII'!$B$2:$E$210,4)&lt;=0,"……………….","*"))</f>
        <v>2.17</v>
      </c>
      <c r="M183" s="17"/>
      <c r="N183" t="s">
        <v>982</v>
      </c>
      <c r="O183" s="235"/>
    </row>
    <row r="184" spans="3:15" ht="15.75" customHeight="1">
      <c r="C184" s="6" t="s">
        <v>499</v>
      </c>
      <c r="H184" s="304">
        <f>IF(VLOOKUP(GAS!N184,'GAS ASCII'!$B$2:$C$210,2)&gt;=500000,VLOOKUP(GAS!N184,'GAS ASCII'!$B$2:$C$210,2)/1000000,IF(VLOOKUP(GAS!N184,'GAS ASCII'!$B$2:$C$210,2)&lt;=0,"……………….","*"))</f>
        <v>17.237</v>
      </c>
      <c r="I184" s="17"/>
      <c r="J184" s="304">
        <f>IF(VLOOKUP(GAS!N184,'GAS ASCII'!$B$2:$D$210,3)&gt;=500000,VLOOKUP(GAS!N184,'GAS ASCII'!$B$2:$D$210,3)/-1000000,IF(VLOOKUP(GAS!N184,'GAS ASCII'!$B$2:$D$210,3)&lt;=0,0,"*"))</f>
        <v>0</v>
      </c>
      <c r="K184" s="22"/>
      <c r="L184" s="304">
        <f>IF(VLOOKUP(GAS!N184,'GAS ASCII'!$B$2:$E$210,4)&gt;=500000,VLOOKUP(GAS!N184,'GAS ASCII'!$B$2:$E$210,4)/1000000,IF(VLOOKUP(GAS!N184,'GAS ASCII'!$B$2:$E$210,4)&lt;=0,"……………….","*"))</f>
        <v>17.237</v>
      </c>
      <c r="M184" s="17"/>
      <c r="N184" t="s">
        <v>984</v>
      </c>
      <c r="O184" s="235"/>
    </row>
    <row r="185" spans="3:15" ht="15.75" customHeight="1">
      <c r="C185" s="6" t="s">
        <v>384</v>
      </c>
      <c r="H185" s="304">
        <f>IF(VLOOKUP(GAS!N185,'GAS ASCII'!$B$2:$C$210,2)&gt;=500000,VLOOKUP(GAS!N185,'GAS ASCII'!$B$2:$C$210,2)/1000000,IF(VLOOKUP(GAS!N185,'GAS ASCII'!$B$2:$C$210,2)&lt;=0,"……………….","*"))</f>
        <v>15.87</v>
      </c>
      <c r="I185" s="17"/>
      <c r="J185" s="304">
        <f>IF(VLOOKUP(GAS!N185,'GAS ASCII'!$B$2:$D$210,3)&gt;=500000,VLOOKUP(GAS!N185,'GAS ASCII'!$B$2:$D$210,3)/-1000000,IF(VLOOKUP(GAS!N185,'GAS ASCII'!$B$2:$D$210,3)&lt;=0,0,"*"))</f>
        <v>0</v>
      </c>
      <c r="K185" s="22"/>
      <c r="L185" s="304">
        <f>IF(VLOOKUP(GAS!N185,'GAS ASCII'!$B$2:$E$210,4)&gt;=500000,VLOOKUP(GAS!N185,'GAS ASCII'!$B$2:$E$210,4)/1000000,IF(VLOOKUP(GAS!N185,'GAS ASCII'!$B$2:$E$210,4)&lt;=0,"……………….","*"))</f>
        <v>15.87</v>
      </c>
      <c r="M185" s="17"/>
      <c r="N185" s="339" t="s">
        <v>985</v>
      </c>
      <c r="O185" s="235"/>
    </row>
    <row r="186" spans="3:15" ht="30.75" customHeight="1">
      <c r="C186" s="6" t="s">
        <v>513</v>
      </c>
      <c r="H186" s="304">
        <f>IF(VLOOKUP(GAS!N186,'GAS ASCII'!$B$2:$C$210,2)&gt;=500000,VLOOKUP(GAS!N186,'GAS ASCII'!$B$2:$C$210,2)/1000000,IF(VLOOKUP(GAS!N186,'GAS ASCII'!$B$2:$C$210,2)&lt;=0,"……………….","*"))</f>
        <v>12568.09235</v>
      </c>
      <c r="I186" s="17"/>
      <c r="J186" s="304">
        <f>IF(VLOOKUP(GAS!N186,'GAS ASCII'!$B$2:$D$210,3)&gt;=500000,VLOOKUP(GAS!N186,'GAS ASCII'!$B$2:$D$210,3)/-1000000,IF(VLOOKUP(GAS!N186,'GAS ASCII'!$B$2:$D$210,3)&lt;=0,0,"*"))</f>
        <v>-460</v>
      </c>
      <c r="K186" s="22"/>
      <c r="L186" s="304">
        <f>IF(VLOOKUP(GAS!N186,'GAS ASCII'!$B$2:$E$210,4)&gt;=500000,VLOOKUP(GAS!N186,'GAS ASCII'!$B$2:$E$210,4)/1000000,IF(VLOOKUP(GAS!N186,'GAS ASCII'!$B$2:$E$210,4)&lt;=0,"……………….","*"))</f>
        <v>12108.09235</v>
      </c>
      <c r="M186" s="17"/>
      <c r="N186" t="s">
        <v>413</v>
      </c>
      <c r="O186" s="235"/>
    </row>
    <row r="187" spans="3:15" ht="15.75" customHeight="1">
      <c r="C187" s="6" t="s">
        <v>1011</v>
      </c>
      <c r="H187" s="304"/>
      <c r="I187" s="17"/>
      <c r="J187" s="304"/>
      <c r="K187" s="17"/>
      <c r="L187" s="304"/>
      <c r="M187" s="17"/>
      <c r="O187" s="235"/>
    </row>
    <row r="188" spans="3:15" ht="15.75" customHeight="1">
      <c r="C188" s="6" t="s">
        <v>414</v>
      </c>
      <c r="H188" s="304">
        <f>IF(VLOOKUP(GAS!N188,'GAS ASCII'!$B$2:$C$210,2)&gt;=500000,VLOOKUP(GAS!N188,'GAS ASCII'!$B$2:$C$210,2)/1000000,IF(VLOOKUP(GAS!N188,'GAS ASCII'!$B$2:$C$210,2)&lt;=0,"……………….","*"))</f>
        <v>13.318</v>
      </c>
      <c r="I188" s="17"/>
      <c r="J188" s="304">
        <f>IF(VLOOKUP(GAS!N188,'GAS ASCII'!$B$2:$D$210,3)&gt;=500000,VLOOKUP(GAS!N188,'GAS ASCII'!$B$2:$D$210,3)/-1000000,IF(VLOOKUP(GAS!N188,'GAS ASCII'!$B$2:$D$210,3)&lt;=0,0,"*"))</f>
        <v>0</v>
      </c>
      <c r="K188" s="22"/>
      <c r="L188" s="304">
        <f>IF(VLOOKUP(GAS!N188,'GAS ASCII'!$B$2:$E$210,4)&gt;=500000,VLOOKUP(GAS!N188,'GAS ASCII'!$B$2:$E$210,4)/1000000,IF(VLOOKUP(GAS!N188,'GAS ASCII'!$B$2:$E$210,4)&lt;=0,"……………….","*"))</f>
        <v>13.318</v>
      </c>
      <c r="M188" s="17"/>
      <c r="N188" t="s">
        <v>157</v>
      </c>
      <c r="O188" s="235"/>
    </row>
    <row r="189" spans="3:15" ht="15.75" customHeight="1">
      <c r="C189" s="6" t="s">
        <v>76</v>
      </c>
      <c r="H189" s="304">
        <f>IF(VLOOKUP(GAS!N189,'GAS ASCII'!$B$2:$C$210,2)&gt;=500000,VLOOKUP(GAS!N189,'GAS ASCII'!$B$2:$C$210,2)/1000000,IF(VLOOKUP(GAS!N189,'GAS ASCII'!$B$2:$C$210,2)&lt;=0,"……………….","*"))</f>
        <v>324.312</v>
      </c>
      <c r="I189" s="17"/>
      <c r="J189" s="304">
        <f>IF(VLOOKUP(GAS!N189,'GAS ASCII'!$B$2:$D$210,3)&gt;=500000,VLOOKUP(GAS!N189,'GAS ASCII'!$B$2:$D$210,3)/-1000000,IF(VLOOKUP(GAS!N189,'GAS ASCII'!$B$2:$D$210,3)&lt;=0,0,"*"))</f>
        <v>0</v>
      </c>
      <c r="K189" s="22"/>
      <c r="L189" s="304">
        <f>IF(VLOOKUP(GAS!N189,'GAS ASCII'!$B$2:$E$210,4)&gt;=500000,VLOOKUP(GAS!N189,'GAS ASCII'!$B$2:$E$210,4)/1000000,IF(VLOOKUP(GAS!N189,'GAS ASCII'!$B$2:$E$210,4)&lt;=0,"……………….","*"))</f>
        <v>324.312</v>
      </c>
      <c r="M189" s="17"/>
      <c r="N189" t="s">
        <v>52</v>
      </c>
      <c r="O189" s="235"/>
    </row>
    <row r="190" spans="3:15" ht="15.75" customHeight="1">
      <c r="C190" s="6" t="s">
        <v>962</v>
      </c>
      <c r="H190" s="304">
        <f>IF(VLOOKUP(GAS!N190,'GAS ASCII'!$B$2:$C$210,2)&gt;=500000,VLOOKUP(GAS!N190,'GAS ASCII'!$B$2:$C$210,2)/1000000,IF(VLOOKUP(GAS!N190,'GAS ASCII'!$B$2:$C$210,2)&lt;=0,"……………….","*"))</f>
        <v>0.503</v>
      </c>
      <c r="I190" s="17"/>
      <c r="J190" s="304">
        <f>IF(VLOOKUP(GAS!N190,'GAS ASCII'!$B$2:$D$210,3)&gt;=500000,VLOOKUP(GAS!N190,'GAS ASCII'!$B$2:$D$210,3)/-1000000,IF(VLOOKUP(GAS!N190,'GAS ASCII'!$B$2:$D$210,3)&lt;=0,0,"*"))</f>
        <v>0</v>
      </c>
      <c r="K190" s="22"/>
      <c r="L190" s="304">
        <f>IF(VLOOKUP(GAS!N190,'GAS ASCII'!$B$2:$E$210,4)&gt;=500000,VLOOKUP(GAS!N190,'GAS ASCII'!$B$2:$E$210,4)/1000000,IF(VLOOKUP(GAS!N190,'GAS ASCII'!$B$2:$E$210,4)&lt;=0,"……………….","*"))</f>
        <v>0.503</v>
      </c>
      <c r="M190" s="17"/>
      <c r="N190" t="s">
        <v>53</v>
      </c>
      <c r="O190" s="235"/>
    </row>
    <row r="191" spans="3:15" ht="15.75" customHeight="1">
      <c r="C191" s="6" t="s">
        <v>744</v>
      </c>
      <c r="H191" s="304" t="str">
        <f>IF(VLOOKUP(GAS!N191,'GAS ASCII'!$B$2:$C$210,2)&gt;=500000,VLOOKUP(GAS!N191,'GAS ASCII'!$B$2:$C$210,2)/1000000,IF(VLOOKUP(GAS!N191,'GAS ASCII'!$B$2:$C$210,2)&lt;=0,"……………….","*"))</f>
        <v>*</v>
      </c>
      <c r="I191" s="17"/>
      <c r="J191" s="304">
        <f>IF(VLOOKUP(GAS!N191,'GAS ASCII'!$B$2:$D$210,3)&gt;=500000,VLOOKUP(GAS!N191,'GAS ASCII'!$B$2:$D$210,3)/-1000000,IF(VLOOKUP(GAS!N191,'GAS ASCII'!$B$2:$D$210,3)&lt;=0,0,"*"))</f>
        <v>0</v>
      </c>
      <c r="K191" s="17"/>
      <c r="L191" s="304" t="str">
        <f>IF(VLOOKUP(GAS!N191,'GAS ASCII'!$B$2:$E$210,4)&gt;=500000,VLOOKUP(GAS!N191,'GAS ASCII'!$B$2:$E$210,4)/1000000,IF(VLOOKUP(GAS!N191,'GAS ASCII'!$B$2:$E$210,4)&lt;=0,"……………….","*"))</f>
        <v>*</v>
      </c>
      <c r="M191" s="17"/>
      <c r="N191" t="s">
        <v>55</v>
      </c>
      <c r="O191" s="235"/>
    </row>
    <row r="192" spans="3:15" ht="15.75" customHeight="1">
      <c r="C192" s="6" t="s">
        <v>754</v>
      </c>
      <c r="H192" s="304">
        <f>IF(VLOOKUP(GAS!N192,'GAS ASCII'!$B$2:$C$210,2)&gt;=500000,VLOOKUP(GAS!N192,'GAS ASCII'!$B$2:$C$210,2)/1000000,IF(VLOOKUP(GAS!N192,'GAS ASCII'!$B$2:$C$210,2)&lt;=0,"……………….","*"))</f>
        <v>1395.694</v>
      </c>
      <c r="I192" s="17"/>
      <c r="J192" s="304">
        <f>IF(VLOOKUP(GAS!N192,'GAS ASCII'!$B$2:$D$210,3)&gt;=500000,VLOOKUP(GAS!N192,'GAS ASCII'!$B$2:$D$210,3)/-1000000,IF(VLOOKUP(GAS!N192,'GAS ASCII'!$B$2:$D$210,3)&lt;=0,0,"*"))</f>
        <v>-452.648</v>
      </c>
      <c r="K192" s="17"/>
      <c r="L192" s="304">
        <f>IF(VLOOKUP(GAS!N192,'GAS ASCII'!$B$2:$E$210,4)&gt;=500000,VLOOKUP(GAS!N192,'GAS ASCII'!$B$2:$E$210,4)/1000000,IF(VLOOKUP(GAS!N192,'GAS ASCII'!$B$2:$E$210,4)&lt;=0,"……………….","*"))</f>
        <v>943.046</v>
      </c>
      <c r="M192" s="17"/>
      <c r="N192" t="s">
        <v>57</v>
      </c>
      <c r="O192" s="235"/>
    </row>
    <row r="193" spans="3:15" ht="15.75" customHeight="1">
      <c r="C193" s="6" t="s">
        <v>881</v>
      </c>
      <c r="H193" s="304">
        <f>IF(VLOOKUP(GAS!N193,'GAS ASCII'!$B$2:$C$210,2)&gt;=500000,VLOOKUP(GAS!N193,'GAS ASCII'!$B$2:$C$210,2)/1000000,IF(VLOOKUP(GAS!N193,'GAS ASCII'!$B$2:$C$210,2)&lt;=0,"……………….","*"))</f>
        <v>74.92204553</v>
      </c>
      <c r="I193" s="17"/>
      <c r="J193" s="304">
        <f>IF(VLOOKUP(GAS!N193,'GAS ASCII'!$B$2:$D$210,3)&gt;=500000,VLOOKUP(GAS!N193,'GAS ASCII'!$B$2:$D$210,3)/-1000000,IF(VLOOKUP(GAS!N193,'GAS ASCII'!$B$2:$D$210,3)&lt;=0,0,"*"))</f>
        <v>0</v>
      </c>
      <c r="K193" s="22"/>
      <c r="L193" s="304">
        <f>IF(VLOOKUP(GAS!N193,'GAS ASCII'!$B$2:$E$210,4)&gt;=500000,VLOOKUP(GAS!N193,'GAS ASCII'!$B$2:$E$210,4)/1000000,IF(VLOOKUP(GAS!N193,'GAS ASCII'!$B$2:$E$210,4)&lt;=0,"……………….","*"))</f>
        <v>74.92204553</v>
      </c>
      <c r="M193" s="17"/>
      <c r="N193" t="s">
        <v>59</v>
      </c>
      <c r="O193" s="235"/>
    </row>
    <row r="194" spans="3:15" ht="15.75" customHeight="1">
      <c r="C194" s="6" t="s">
        <v>10</v>
      </c>
      <c r="H194" s="304">
        <f>IF(VLOOKUP(GAS!N194,'GAS ASCII'!$B$2:$C$210,2)&gt;=500000,VLOOKUP(GAS!N194,'GAS ASCII'!$B$2:$C$210,2)/1000000,IF(VLOOKUP(GAS!N194,'GAS ASCII'!$B$2:$C$210,2)&lt;=0,"……………….","*"))</f>
        <v>1319.178</v>
      </c>
      <c r="I194" s="17"/>
      <c r="J194" s="304">
        <f>IF(VLOOKUP(GAS!N194,'GAS ASCII'!$B$2:$D$210,3)&gt;=500000,VLOOKUP(GAS!N194,'GAS ASCII'!$B$2:$D$210,3)/-1000000,IF(VLOOKUP(GAS!N194,'GAS ASCII'!$B$2:$D$210,3)&lt;=0,0,"*"))</f>
        <v>0</v>
      </c>
      <c r="K194" s="22"/>
      <c r="L194" s="304">
        <f>IF(VLOOKUP(GAS!N194,'GAS ASCII'!$B$2:$E$210,4)&gt;=500000,VLOOKUP(GAS!N194,'GAS ASCII'!$B$2:$E$210,4)/1000000,IF(VLOOKUP(GAS!N194,'GAS ASCII'!$B$2:$E$210,4)&lt;=0,"……………….","*"))</f>
        <v>1319.178</v>
      </c>
      <c r="M194" s="17"/>
      <c r="N194" t="s">
        <v>182</v>
      </c>
      <c r="O194" s="235"/>
    </row>
    <row r="195" spans="3:15" ht="30.75" customHeight="1">
      <c r="C195" s="6" t="s">
        <v>1048</v>
      </c>
      <c r="H195" s="304">
        <f>IF(VLOOKUP(GAS!N195,'GAS ASCII'!$B$2:$C$210,2)&gt;=500000,VLOOKUP(GAS!N195,'GAS ASCII'!$B$2:$C$210,2)/1000000,IF(VLOOKUP(GAS!N195,'GAS ASCII'!$B$2:$C$210,2)&lt;=0,"……………….","*"))</f>
        <v>8.201</v>
      </c>
      <c r="I195" s="17"/>
      <c r="J195" s="304">
        <f>IF(VLOOKUP(GAS!N195,'GAS ASCII'!$B$2:$D$210,3)&gt;=500000,VLOOKUP(GAS!N195,'GAS ASCII'!$B$2:$D$210,3)/-1000000,IF(VLOOKUP(GAS!N195,'GAS ASCII'!$B$2:$D$210,3)&lt;=0,0,"*"))</f>
        <v>0</v>
      </c>
      <c r="K195" s="22"/>
      <c r="L195" s="304">
        <f>IF(VLOOKUP(GAS!N195,'GAS ASCII'!$B$2:$E$210,4)&gt;=500000,VLOOKUP(GAS!N195,'GAS ASCII'!$B$2:$E$210,4)/1000000,IF(VLOOKUP(GAS!N195,'GAS ASCII'!$B$2:$E$210,4)&lt;=0,"……………….","*"))</f>
        <v>8.201</v>
      </c>
      <c r="M195" s="17"/>
      <c r="N195" t="s">
        <v>1111</v>
      </c>
      <c r="O195" s="235"/>
    </row>
    <row r="196" spans="3:15" ht="15.75" customHeight="1">
      <c r="C196" s="6" t="s">
        <v>488</v>
      </c>
      <c r="H196" s="304">
        <f>IF(VLOOKUP(GAS!N196,'GAS ASCII'!$B$2:$C$210,2)&gt;=500000,VLOOKUP(GAS!N196,'GAS ASCII'!$B$2:$C$210,2)/1000000,IF(VLOOKUP(GAS!N196,'GAS ASCII'!$B$2:$C$210,2)&lt;=0,"……………….","*"))</f>
        <v>261.031</v>
      </c>
      <c r="I196" s="17"/>
      <c r="J196" s="304">
        <f>IF(VLOOKUP(GAS!N196,'GAS ASCII'!$B$2:$D$210,3)&gt;=500000,VLOOKUP(GAS!N196,'GAS ASCII'!$B$2:$D$210,3)/-1000000,IF(VLOOKUP(GAS!N196,'GAS ASCII'!$B$2:$D$210,3)&lt;=0,0,"*"))</f>
        <v>0</v>
      </c>
      <c r="K196" s="22"/>
      <c r="L196" s="304">
        <f>IF(VLOOKUP(GAS!N196,'GAS ASCII'!$B$2:$E$210,4)&gt;=500000,VLOOKUP(GAS!N196,'GAS ASCII'!$B$2:$E$210,4)/1000000,IF(VLOOKUP(GAS!N196,'GAS ASCII'!$B$2:$E$210,4)&lt;=0,"……………….","*"))</f>
        <v>261.031</v>
      </c>
      <c r="M196" s="17"/>
      <c r="N196" t="s">
        <v>1113</v>
      </c>
      <c r="O196" s="235"/>
    </row>
    <row r="197" spans="3:15" ht="15.75" customHeight="1">
      <c r="C197" s="6" t="s">
        <v>422</v>
      </c>
      <c r="H197" s="304">
        <f>IF(VLOOKUP(GAS!N197,'GAS ASCII'!$B$2:$C$210,2)&gt;=500000,VLOOKUP(GAS!N197,'GAS ASCII'!$B$2:$C$210,2)/1000000,IF(VLOOKUP(GAS!N197,'GAS ASCII'!$B$2:$C$210,2)&lt;=0,"……………….","*"))</f>
        <v>51.97643121</v>
      </c>
      <c r="I197" s="17"/>
      <c r="J197" s="304">
        <f>IF(VLOOKUP(GAS!N197,'GAS ASCII'!$B$2:$D$210,3)&gt;=500000,VLOOKUP(GAS!N197,'GAS ASCII'!$B$2:$D$210,3)/-1000000,IF(VLOOKUP(GAS!N197,'GAS ASCII'!$B$2:$D$210,3)&lt;=0,0,"*"))</f>
        <v>0</v>
      </c>
      <c r="K197" s="22"/>
      <c r="L197" s="304">
        <f>IF(VLOOKUP(GAS!N197,'GAS ASCII'!$B$2:$E$210,4)&gt;=500000,VLOOKUP(GAS!N197,'GAS ASCII'!$B$2:$E$210,4)/1000000,IF(VLOOKUP(GAS!N197,'GAS ASCII'!$B$2:$E$210,4)&lt;=0,"……………….","*"))</f>
        <v>51.97643121</v>
      </c>
      <c r="M197" s="17"/>
      <c r="N197" t="s">
        <v>763</v>
      </c>
      <c r="O197" s="235"/>
    </row>
    <row r="198" spans="3:15" ht="15.75" customHeight="1">
      <c r="C198" s="6" t="s">
        <v>129</v>
      </c>
      <c r="H198" s="304">
        <f>IF(VLOOKUP(GAS!N198,'GAS ASCII'!$B$2:$C$210,2)&gt;=500000,VLOOKUP(GAS!N198,'GAS ASCII'!$B$2:$C$210,2)/1000000,IF(VLOOKUP(GAS!N198,'GAS ASCII'!$B$2:$C$210,2)&lt;=0,"……………….","*"))</f>
        <v>26.49109254</v>
      </c>
      <c r="I198" s="17"/>
      <c r="J198" s="304">
        <f>IF(VLOOKUP(GAS!N198,'GAS ASCII'!$B$2:$D$210,3)&gt;=500000,VLOOKUP(GAS!N198,'GAS ASCII'!$B$2:$D$210,3)/-1000000,IF(VLOOKUP(GAS!N198,'GAS ASCII'!$B$2:$D$210,3)&lt;=0,0,"*"))</f>
        <v>0</v>
      </c>
      <c r="K198" s="22"/>
      <c r="L198" s="304">
        <f>IF(VLOOKUP(GAS!N198,'GAS ASCII'!$B$2:$E$210,4)&gt;=500000,VLOOKUP(GAS!N198,'GAS ASCII'!$B$2:$E$210,4)/1000000,IF(VLOOKUP(GAS!N198,'GAS ASCII'!$B$2:$E$210,4)&lt;=0,"……………….","*"))</f>
        <v>26.49109254</v>
      </c>
      <c r="M198" s="17"/>
      <c r="N198" t="s">
        <v>859</v>
      </c>
      <c r="O198" s="235"/>
    </row>
    <row r="199" spans="3:15" ht="15.75" customHeight="1">
      <c r="C199" s="6" t="s">
        <v>771</v>
      </c>
      <c r="H199" s="304">
        <f>IF(VLOOKUP(GAS!N199,'GAS ASCII'!$B$2:$C$210,2)&gt;=500000,VLOOKUP(GAS!N199,'GAS ASCII'!$B$2:$C$210,2)/1000000,IF(VLOOKUP(GAS!N199,'GAS ASCII'!$B$2:$C$210,2)&lt;=0,"……………….","*"))</f>
        <v>65.975</v>
      </c>
      <c r="I199" s="17"/>
      <c r="J199" s="304" t="str">
        <f>IF(VLOOKUP(GAS!N199,'GAS ASCII'!$B$2:$D$210,3)&gt;=500000,VLOOKUP(GAS!N199,'GAS ASCII'!$B$2:$D$210,3)/-1000000,IF(VLOOKUP(GAS!N199,'GAS ASCII'!$B$2:$D$210,3)&lt;=0,0,"*"))</f>
        <v>*</v>
      </c>
      <c r="K199" s="22"/>
      <c r="L199" s="304">
        <f>IF(VLOOKUP(GAS!N199,'GAS ASCII'!$B$2:$E$210,4)&gt;=500000,VLOOKUP(GAS!N199,'GAS ASCII'!$B$2:$E$210,4)/1000000,IF(VLOOKUP(GAS!N199,'GAS ASCII'!$B$2:$E$210,4)&lt;=0,"……………….","*"))</f>
        <v>65.959</v>
      </c>
      <c r="M199" s="17"/>
      <c r="N199" t="s">
        <v>217</v>
      </c>
      <c r="O199" s="235"/>
    </row>
    <row r="200" spans="3:15" ht="30.75" customHeight="1">
      <c r="C200" s="6" t="s">
        <v>1104</v>
      </c>
      <c r="H200" s="304" t="str">
        <f>IF(VLOOKUP(GAS!N200,'GAS ASCII'!$B$2:$C$210,2)&gt;=500000,VLOOKUP(GAS!N200,'GAS ASCII'!$B$2:$C$210,2)/1000000,IF(VLOOKUP(GAS!N200,'GAS ASCII'!$B$2:$C$210,2)&lt;=0,"……………….","*"))</f>
        <v>*</v>
      </c>
      <c r="I200" s="17"/>
      <c r="J200" s="304">
        <f>IF(VLOOKUP(GAS!N200,'GAS ASCII'!$B$2:$D$210,3)&gt;=500000,VLOOKUP(GAS!N200,'GAS ASCII'!$B$2:$D$210,3)/-1000000,IF(VLOOKUP(GAS!N200,'GAS ASCII'!$B$2:$D$210,3)&lt;=0,0,"*"))</f>
        <v>0</v>
      </c>
      <c r="K200" s="22"/>
      <c r="L200" s="304" t="str">
        <f>IF(VLOOKUP(GAS!N200,'GAS ASCII'!$B$2:$E$210,4)&gt;=500000,VLOOKUP(GAS!N200,'GAS ASCII'!$B$2:$E$210,4)/1000000,IF(VLOOKUP(GAS!N200,'GAS ASCII'!$B$2:$E$210,4)&lt;=0,"……………….","*"))</f>
        <v>*</v>
      </c>
      <c r="M200" s="17"/>
      <c r="N200" t="s">
        <v>486</v>
      </c>
      <c r="O200" s="235"/>
    </row>
    <row r="201" spans="3:15" ht="15.75" customHeight="1">
      <c r="C201" s="6" t="s">
        <v>567</v>
      </c>
      <c r="H201" s="304">
        <f>IF(VLOOKUP(GAS!N201,'GAS ASCII'!$B$2:$C$210,2)&gt;=500000,VLOOKUP(GAS!N201,'GAS ASCII'!$B$2:$C$210,2)/1000000,IF(VLOOKUP(GAS!N201,'GAS ASCII'!$B$2:$C$210,2)&lt;=0,"……………….","*"))</f>
        <v>53823.169</v>
      </c>
      <c r="I201" s="17"/>
      <c r="J201" s="304">
        <f>IF(VLOOKUP(GAS!N201,'GAS ASCII'!$B$2:$D$210,3)&gt;=500000,VLOOKUP(GAS!N201,'GAS ASCII'!$B$2:$D$210,3)/-1000000,IF(VLOOKUP(GAS!N201,'GAS ASCII'!$B$2:$D$210,3)&lt;=0,0,"*"))</f>
        <v>0</v>
      </c>
      <c r="K201" s="152"/>
      <c r="L201" s="304">
        <f>IF(VLOOKUP(GAS!N201,'GAS ASCII'!$B$2:$E$210,4)&gt;=500000,VLOOKUP(GAS!N201,'GAS ASCII'!$B$2:$E$210,4)/1000000,IF(VLOOKUP(GAS!N201,'GAS ASCII'!$B$2:$E$210,4)&lt;=0,"……………….","*"))</f>
        <v>53823.169</v>
      </c>
      <c r="M201" s="17"/>
      <c r="N201" t="s">
        <v>219</v>
      </c>
      <c r="O201" s="235"/>
    </row>
    <row r="202" spans="3:15" ht="15.75" customHeight="1">
      <c r="C202" s="6" t="s">
        <v>748</v>
      </c>
      <c r="H202" s="304">
        <f>IF(VLOOKUP(GAS!N202,'GAS ASCII'!$B$2:$C$210,2)&gt;=500000,VLOOKUP(GAS!N202,'GAS ASCII'!$B$2:$C$210,2)/1000000,IF(VLOOKUP(GAS!N202,'GAS ASCII'!$B$2:$C$210,2)&lt;=0,"……………….","*"))</f>
        <v>1383.309</v>
      </c>
      <c r="I202" s="17"/>
      <c r="J202" s="304">
        <f>IF(VLOOKUP(GAS!N202,'GAS ASCII'!$B$2:$D$210,3)&gt;=500000,VLOOKUP(GAS!N202,'GAS ASCII'!$B$2:$D$210,3)/-1000000,IF(VLOOKUP(GAS!N202,'GAS ASCII'!$B$2:$D$210,3)&lt;=0,0,"*"))</f>
        <v>0</v>
      </c>
      <c r="K202" s="22"/>
      <c r="L202" s="304">
        <f>IF(VLOOKUP(GAS!N202,'GAS ASCII'!$B$2:$E$210,4)&gt;=500000,VLOOKUP(GAS!N202,'GAS ASCII'!$B$2:$E$210,4)/1000000,IF(VLOOKUP(GAS!N202,'GAS ASCII'!$B$2:$E$210,4)&lt;=0,"……………….","*"))</f>
        <v>1383.309</v>
      </c>
      <c r="M202" s="17"/>
      <c r="N202" t="s">
        <v>221</v>
      </c>
      <c r="O202" s="235"/>
    </row>
    <row r="203" spans="3:15" ht="15.75" customHeight="1">
      <c r="C203" s="6" t="s">
        <v>247</v>
      </c>
      <c r="H203" s="304">
        <f>IF(VLOOKUP(GAS!N203,'GAS ASCII'!$B$2:$C$210,2)&gt;=500000,VLOOKUP(GAS!N203,'GAS ASCII'!$B$2:$C$210,2)/1000000,IF(VLOOKUP(GAS!N203,'GAS ASCII'!$B$2:$C$210,2)&lt;=0,"……………….","*"))</f>
        <v>76.042</v>
      </c>
      <c r="I203" s="17"/>
      <c r="J203" s="304">
        <f>IF(VLOOKUP(GAS!N203,'GAS ASCII'!$B$2:$D$210,3)&gt;=500000,VLOOKUP(GAS!N203,'GAS ASCII'!$B$2:$D$210,3)/-1000000,IF(VLOOKUP(GAS!N203,'GAS ASCII'!$B$2:$D$210,3)&lt;=0,0,"*"))</f>
        <v>-29.484</v>
      </c>
      <c r="K203" s="22"/>
      <c r="L203" s="304">
        <f>IF(VLOOKUP(GAS!N203,'GAS ASCII'!$B$2:$E$210,4)&gt;=500000,VLOOKUP(GAS!N203,'GAS ASCII'!$B$2:$E$210,4)/1000000,IF(VLOOKUP(GAS!N203,'GAS ASCII'!$B$2:$E$210,4)&lt;=0,"……………….","*"))</f>
        <v>46.558</v>
      </c>
      <c r="M203" s="17"/>
      <c r="N203" t="s">
        <v>927</v>
      </c>
      <c r="O203" s="235"/>
    </row>
    <row r="204" spans="3:15" ht="15.75" customHeight="1">
      <c r="C204" s="6" t="s">
        <v>995</v>
      </c>
      <c r="H204" s="304">
        <f>IF(VLOOKUP(GAS!N204,'GAS ASCII'!$B$2:$C$210,2)&gt;=500000,VLOOKUP(GAS!N204,'GAS ASCII'!$B$2:$C$210,2)/1000000,IF(VLOOKUP(GAS!N204,'GAS ASCII'!$B$2:$C$210,2)&lt;=0,"……………….","*"))</f>
        <v>7.0041</v>
      </c>
      <c r="I204" s="17"/>
      <c r="J204" s="304">
        <f>IF(VLOOKUP(GAS!N204,'GAS ASCII'!$B$2:$D$210,3)&gt;=500000,VLOOKUP(GAS!N204,'GAS ASCII'!$B$2:$D$210,3)/-1000000,IF(VLOOKUP(GAS!N204,'GAS ASCII'!$B$2:$D$210,3)&lt;=0,0,"*"))</f>
        <v>0</v>
      </c>
      <c r="K204" s="22"/>
      <c r="L204" s="304">
        <f>IF(VLOOKUP(GAS!N204,'GAS ASCII'!$B$2:$E$210,4)&gt;=500000,VLOOKUP(GAS!N204,'GAS ASCII'!$B$2:$E$210,4)/1000000,IF(VLOOKUP(GAS!N204,'GAS ASCII'!$B$2:$E$210,4)&lt;=0,"……………….","*"))</f>
        <v>7.0041</v>
      </c>
      <c r="M204" s="17"/>
      <c r="N204" t="s">
        <v>929</v>
      </c>
      <c r="O204" s="235"/>
    </row>
    <row r="205" spans="3:15" ht="15.75" customHeight="1">
      <c r="C205" s="6" t="s">
        <v>131</v>
      </c>
      <c r="H205" s="304">
        <f>IF(VLOOKUP(GAS!N205,'GAS ASCII'!$B$2:$C$210,2)&gt;=500000,VLOOKUP(GAS!N205,'GAS ASCII'!$B$2:$C$210,2)/1000000,IF(VLOOKUP(GAS!N205,'GAS ASCII'!$B$2:$C$210,2)&lt;=0,"……………….","*"))</f>
        <v>260.023</v>
      </c>
      <c r="I205" s="17"/>
      <c r="J205" s="304">
        <f>IF(VLOOKUP(GAS!N205,'GAS ASCII'!$B$2:$D$210,3)&gt;=500000,VLOOKUP(GAS!N205,'GAS ASCII'!$B$2:$D$210,3)/-1000000,IF(VLOOKUP(GAS!N205,'GAS ASCII'!$B$2:$D$210,3)&lt;=0,0,"*"))</f>
        <v>0</v>
      </c>
      <c r="K205" s="22"/>
      <c r="L205" s="304">
        <f>IF(VLOOKUP(GAS!N205,'GAS ASCII'!$B$2:$E$210,4)&gt;=500000,VLOOKUP(GAS!N205,'GAS ASCII'!$B$2:$E$210,4)/1000000,IF(VLOOKUP(GAS!N205,'GAS ASCII'!$B$2:$E$210,4)&lt;=0,"……………….","*"))</f>
        <v>260.023</v>
      </c>
      <c r="M205" s="17"/>
      <c r="N205" t="s">
        <v>931</v>
      </c>
      <c r="O205" s="235"/>
    </row>
    <row r="206" spans="3:15" ht="15.75" customHeight="1">
      <c r="C206" s="6" t="s">
        <v>496</v>
      </c>
      <c r="H206" s="304">
        <f>IF(VLOOKUP(GAS!N206,'GAS ASCII'!$B$2:$C$210,2)&gt;=500000,VLOOKUP(GAS!N206,'GAS ASCII'!$B$2:$C$210,2)/1000000,IF(VLOOKUP(GAS!N206,'GAS ASCII'!$B$2:$C$210,2)&lt;=0,"……………….","*"))</f>
        <v>3970.194</v>
      </c>
      <c r="I206" s="17"/>
      <c r="J206" s="304">
        <f>IF(VLOOKUP(GAS!N206,'GAS ASCII'!$B$2:$D$210,3)&gt;=500000,VLOOKUP(GAS!N206,'GAS ASCII'!$B$2:$D$210,3)/-1000000,IF(VLOOKUP(GAS!N206,'GAS ASCII'!$B$2:$D$210,3)&lt;=0,0,"*"))</f>
        <v>0</v>
      </c>
      <c r="K206" s="22"/>
      <c r="L206" s="304">
        <f>IF(VLOOKUP(GAS!N206,'GAS ASCII'!$B$2:$E$210,4)&gt;=500000,VLOOKUP(GAS!N206,'GAS ASCII'!$B$2:$E$210,4)/1000000,IF(VLOOKUP(GAS!N206,'GAS ASCII'!$B$2:$E$210,4)&lt;=0,"……………….","*"))</f>
        <v>3970.194</v>
      </c>
      <c r="M206" s="17"/>
      <c r="N206" t="s">
        <v>912</v>
      </c>
      <c r="O206" s="235"/>
    </row>
    <row r="207" spans="3:15" ht="15.75" customHeight="1">
      <c r="C207" s="6" t="s">
        <v>474</v>
      </c>
      <c r="H207" s="304">
        <f>IF(VLOOKUP(GAS!N207,'GAS ASCII'!$B$2:$C$210,2)&gt;=500000,VLOOKUP(GAS!N207,'GAS ASCII'!$B$2:$C$210,2)/1000000,IF(VLOOKUP(GAS!N207,'GAS ASCII'!$B$2:$C$210,2)&lt;=0,"……………….","*"))</f>
        <v>142.348</v>
      </c>
      <c r="I207" s="17"/>
      <c r="J207" s="304">
        <f>IF(VLOOKUP(GAS!N207,'GAS ASCII'!$B$2:$D$210,3)&gt;=500000,VLOOKUP(GAS!N207,'GAS ASCII'!$B$2:$D$210,3)/-1000000,IF(VLOOKUP(GAS!N207,'GAS ASCII'!$B$2:$D$210,3)&lt;=0,0,"*"))</f>
        <v>0</v>
      </c>
      <c r="K207" s="22"/>
      <c r="L207" s="304">
        <f>IF(VLOOKUP(GAS!N207,'GAS ASCII'!$B$2:$E$210,4)&gt;=500000,VLOOKUP(GAS!N207,'GAS ASCII'!$B$2:$E$210,4)/1000000,IF(VLOOKUP(GAS!N207,'GAS ASCII'!$B$2:$E$210,4)&lt;=0,"……………….","*"))</f>
        <v>142.348</v>
      </c>
      <c r="M207" s="17"/>
      <c r="N207" t="s">
        <v>914</v>
      </c>
      <c r="O207" s="235"/>
    </row>
    <row r="208" spans="3:15" ht="30.75" customHeight="1">
      <c r="C208" s="6" t="s">
        <v>760</v>
      </c>
      <c r="H208" s="304">
        <f>IF(VLOOKUP(GAS!N208,'GAS ASCII'!$B$2:$C$210,2)&gt;=500000,VLOOKUP(GAS!N208,'GAS ASCII'!$B$2:$C$210,2)/1000000,IF(VLOOKUP(GAS!N208,'GAS ASCII'!$B$2:$C$210,2)&lt;=0,"……………….","*"))</f>
        <v>2094.783</v>
      </c>
      <c r="I208" s="17"/>
      <c r="J208" s="304">
        <f>IF(VLOOKUP(GAS!N208,'GAS ASCII'!$B$2:$D$210,3)&gt;=500000,VLOOKUP(GAS!N208,'GAS ASCII'!$B$2:$D$210,3)/-1000000,IF(VLOOKUP(GAS!N208,'GAS ASCII'!$B$2:$D$210,3)&lt;=0,0,"*"))</f>
        <v>0</v>
      </c>
      <c r="K208" s="22"/>
      <c r="L208" s="304">
        <f>IF(VLOOKUP(GAS!N208,'GAS ASCII'!$B$2:$E$210,4)&gt;=500000,VLOOKUP(GAS!N208,'GAS ASCII'!$B$2:$E$210,4)/1000000,IF(VLOOKUP(GAS!N208,'GAS ASCII'!$B$2:$E$210,4)&lt;=0,"……………….","*"))</f>
        <v>2094.783</v>
      </c>
      <c r="M208" s="17"/>
      <c r="N208" t="s">
        <v>916</v>
      </c>
      <c r="O208" s="235"/>
    </row>
    <row r="209" spans="3:15" ht="15.75" customHeight="1">
      <c r="C209" s="6" t="s">
        <v>743</v>
      </c>
      <c r="H209" s="304">
        <f>IF(VLOOKUP(GAS!N209,'GAS ASCII'!$B$2:$C$210,2)&gt;=500000,VLOOKUP(GAS!N209,'GAS ASCII'!$B$2:$C$210,2)/1000000,IF(VLOOKUP(GAS!N209,'GAS ASCII'!$B$2:$C$210,2)&lt;=0,"……………….","*"))</f>
        <v>713.932</v>
      </c>
      <c r="I209" s="17"/>
      <c r="J209" s="304">
        <f>IF(VLOOKUP(GAS!N209,'GAS ASCII'!$B$2:$D$210,3)&gt;=500000,VLOOKUP(GAS!N209,'GAS ASCII'!$B$2:$D$210,3)/-1000000,IF(VLOOKUP(GAS!N209,'GAS ASCII'!$B$2:$D$210,3)&lt;=0,0,"*"))</f>
        <v>-280</v>
      </c>
      <c r="K209" s="22"/>
      <c r="L209" s="304">
        <f>IF(VLOOKUP(GAS!N209,'GAS ASCII'!$B$2:$E$210,4)&gt;=500000,VLOOKUP(GAS!N209,'GAS ASCII'!$B$2:$E$210,4)/1000000,IF(VLOOKUP(GAS!N209,'GAS ASCII'!$B$2:$E$210,4)&lt;=0,"……………….","*"))</f>
        <v>433.932</v>
      </c>
      <c r="M209" s="17"/>
      <c r="N209" t="s">
        <v>918</v>
      </c>
      <c r="O209" s="235"/>
    </row>
    <row r="210" spans="3:15" ht="15.75" customHeight="1">
      <c r="C210" s="108" t="s">
        <v>321</v>
      </c>
      <c r="H210" s="304"/>
      <c r="I210" s="17"/>
      <c r="J210" s="304"/>
      <c r="K210" s="22"/>
      <c r="L210" s="304"/>
      <c r="M210" s="17"/>
      <c r="O210" s="235"/>
    </row>
    <row r="211" spans="3:15" ht="15.75" customHeight="1">
      <c r="C211" s="6" t="s">
        <v>991</v>
      </c>
      <c r="H211" s="304">
        <f>IF(VLOOKUP(GAS!N211,'GAS ASCII'!$B$2:$C$210,2)&gt;=500000,VLOOKUP(GAS!N211,'GAS ASCII'!$B$2:$C$210,2)/1000000,IF(VLOOKUP(GAS!N211,'GAS ASCII'!$B$2:$C$210,2)&lt;=0,"……………….","*"))</f>
        <v>2945.433</v>
      </c>
      <c r="I211" s="17"/>
      <c r="J211" s="304">
        <f>IF(VLOOKUP(GAS!N211,'GAS ASCII'!$B$2:$D$210,3)&gt;=500000,VLOOKUP(GAS!N211,'GAS ASCII'!$B$2:$D$210,3)/-1000000,IF(VLOOKUP(GAS!N211,'GAS ASCII'!$B$2:$D$210,3)&lt;=0,0,"*"))</f>
        <v>-990</v>
      </c>
      <c r="K211" s="22"/>
      <c r="L211" s="304">
        <f>IF(VLOOKUP(GAS!N211,'GAS ASCII'!$B$2:$E$210,4)&gt;=500000,VLOOKUP(GAS!N211,'GAS ASCII'!$B$2:$E$210,4)/1000000,IF(VLOOKUP(GAS!N211,'GAS ASCII'!$B$2:$E$210,4)&lt;=0,"……………….","*"))</f>
        <v>1955.433</v>
      </c>
      <c r="M211" s="17"/>
      <c r="N211" t="s">
        <v>527</v>
      </c>
      <c r="O211" s="235"/>
    </row>
    <row r="212" spans="3:15" ht="15.75" customHeight="1">
      <c r="C212" s="108" t="s">
        <v>322</v>
      </c>
      <c r="H212" s="304" t="str">
        <f>IF(VLOOKUP(GAS!N212,'GAS ASCII'!$B$2:$C$210,2)&gt;=500000,VLOOKUP(GAS!N212,'GAS ASCII'!$B$2:$C$210,2)/1000000,IF(VLOOKUP(GAS!N212,'GAS ASCII'!$B$2:$C$210,2)&lt;=0,"……………….","*"))</f>
        <v>*</v>
      </c>
      <c r="I212" s="17"/>
      <c r="J212" s="304">
        <f>IF(VLOOKUP(GAS!N212,'GAS ASCII'!$B$2:$D$210,3)&gt;=500000,VLOOKUP(GAS!N212,'GAS ASCII'!$B$2:$D$210,3)/-1000000,IF(VLOOKUP(GAS!N212,'GAS ASCII'!$B$2:$D$210,3)&lt;=0,0,"*"))</f>
        <v>0</v>
      </c>
      <c r="K212" s="22"/>
      <c r="L212" s="304" t="str">
        <f>IF(VLOOKUP(GAS!N212,'GAS ASCII'!$B$2:$E$210,4)&gt;=500000,VLOOKUP(GAS!N212,'GAS ASCII'!$B$2:$E$210,4)/1000000,IF(VLOOKUP(GAS!N212,'GAS ASCII'!$B$2:$E$210,4)&lt;=0,"……………….","*"))</f>
        <v>*</v>
      </c>
      <c r="M212" s="17"/>
      <c r="N212" t="s">
        <v>529</v>
      </c>
      <c r="O212" s="235"/>
    </row>
    <row r="213" spans="3:15" ht="15.75" customHeight="1">
      <c r="C213" s="108" t="s">
        <v>323</v>
      </c>
      <c r="H213" s="304">
        <f>IF(VLOOKUP(GAS!N213,'GAS ASCII'!$B$2:$C$210,2)&gt;=500000,VLOOKUP(GAS!N213,'GAS ASCII'!$B$2:$C$210,2)/1000000,IF(VLOOKUP(GAS!N213,'GAS ASCII'!$B$2:$C$210,2)&lt;=0,"……………….","*"))</f>
        <v>716.03171248</v>
      </c>
      <c r="I213" s="17"/>
      <c r="J213" s="304">
        <f>IF(VLOOKUP(GAS!N213,'GAS ASCII'!$B$2:$D$210,3)&gt;=500000,VLOOKUP(GAS!N213,'GAS ASCII'!$B$2:$D$210,3)/-1000000,IF(VLOOKUP(GAS!N213,'GAS ASCII'!$B$2:$D$210,3)&lt;=0,0,"*"))</f>
        <v>0</v>
      </c>
      <c r="K213" s="22"/>
      <c r="L213" s="304">
        <f>IF(VLOOKUP(GAS!N213,'GAS ASCII'!$B$2:$E$210,4)&gt;=500000,VLOOKUP(GAS!N213,'GAS ASCII'!$B$2:$E$210,4)/1000000,IF(VLOOKUP(GAS!N213,'GAS ASCII'!$B$2:$E$210,4)&lt;=0,"……………….","*"))</f>
        <v>716.03171248</v>
      </c>
      <c r="M213" s="17"/>
      <c r="N213" t="s">
        <v>531</v>
      </c>
      <c r="O213" s="235"/>
    </row>
    <row r="214" spans="3:15" ht="30.75" customHeight="1">
      <c r="C214" s="6" t="s">
        <v>324</v>
      </c>
      <c r="H214" s="304">
        <f>IF(VLOOKUP(GAS!N214,'GAS ASCII'!$B$2:$C$210,2)&gt;=500000,VLOOKUP(GAS!N214,'GAS ASCII'!$B$2:$C$210,2)/1000000,IF(VLOOKUP(GAS!N214,'GAS ASCII'!$B$2:$C$210,2)&lt;=0,"……………….","*"))</f>
        <v>36.588</v>
      </c>
      <c r="I214" s="17"/>
      <c r="J214" s="304">
        <f>IF(VLOOKUP(GAS!N214,'GAS ASCII'!$B$2:$D$210,3)&gt;=500000,VLOOKUP(GAS!N214,'GAS ASCII'!$B$2:$D$210,3)/-1000000,IF(VLOOKUP(GAS!N214,'GAS ASCII'!$B$2:$D$210,3)&lt;=0,0,"*"))</f>
        <v>0</v>
      </c>
      <c r="K214" s="22"/>
      <c r="L214" s="304">
        <f>IF(VLOOKUP(GAS!N214,'GAS ASCII'!$B$2:$E$210,4)&gt;=500000,VLOOKUP(GAS!N214,'GAS ASCII'!$B$2:$E$210,4)/1000000,IF(VLOOKUP(GAS!N214,'GAS ASCII'!$B$2:$E$210,4)&lt;=0,"……………….","*"))</f>
        <v>36.588</v>
      </c>
      <c r="M214" s="17"/>
      <c r="N214" t="s">
        <v>1077</v>
      </c>
      <c r="O214" s="235"/>
    </row>
    <row r="215" spans="2:13" ht="15.75" customHeight="1">
      <c r="B215" s="64" t="s">
        <v>746</v>
      </c>
      <c r="H215" s="311">
        <f>SUM(H33:H214)+1</f>
        <v>3444685.569539989</v>
      </c>
      <c r="I215" s="410"/>
      <c r="J215" s="311">
        <f>SUM(J33:J214)-1</f>
        <v>-154341.24765144</v>
      </c>
      <c r="K215" s="312"/>
      <c r="L215" s="311">
        <f>H215+J215+1</f>
        <v>3290345.321888549</v>
      </c>
      <c r="M215" s="312"/>
    </row>
    <row r="216" spans="2:13" ht="21.75" customHeight="1" thickBot="1">
      <c r="B216" s="61" t="s">
        <v>598</v>
      </c>
      <c r="C216" s="6"/>
      <c r="H216" s="194">
        <f>H29+H215+1</f>
        <v>3510691.5976869687</v>
      </c>
      <c r="I216" s="233"/>
      <c r="J216" s="194">
        <f>J215+J29-1</f>
        <v>-154348.08165144</v>
      </c>
      <c r="K216" s="233"/>
      <c r="L216" s="194">
        <f>+H216+J216</f>
        <v>3356343.516035529</v>
      </c>
      <c r="M216" s="233"/>
    </row>
    <row r="217" spans="1:13" ht="33.75" customHeight="1" thickTop="1">
      <c r="A217" s="112" t="s">
        <v>476</v>
      </c>
      <c r="B217" s="112"/>
      <c r="C217" s="113"/>
      <c r="D217" s="113"/>
      <c r="E217" s="50"/>
      <c r="F217" s="50"/>
      <c r="G217" s="50"/>
      <c r="H217" s="50"/>
      <c r="I217" s="50"/>
      <c r="J217" s="50"/>
      <c r="K217" s="50"/>
      <c r="L217" s="232"/>
      <c r="M217" s="50"/>
    </row>
    <row r="218" spans="1:13" ht="15">
      <c r="A218" s="64"/>
      <c r="B218" s="114" t="s">
        <v>738</v>
      </c>
      <c r="C218" s="64"/>
      <c r="D218" s="64"/>
      <c r="E218" s="64"/>
      <c r="F218" s="64"/>
      <c r="G218" s="64"/>
      <c r="H218" s="234"/>
      <c r="I218" s="64"/>
      <c r="J218" s="64"/>
      <c r="K218" s="64"/>
      <c r="L218" s="65"/>
      <c r="M218" s="64"/>
    </row>
    <row r="219" spans="1:13" ht="15.75" customHeight="1">
      <c r="A219" s="64"/>
      <c r="B219" s="64"/>
      <c r="C219" s="114" t="s">
        <v>379</v>
      </c>
      <c r="D219" s="64"/>
      <c r="E219" s="64"/>
      <c r="F219" s="64"/>
      <c r="G219" s="64"/>
      <c r="H219" s="64"/>
      <c r="I219" s="64"/>
      <c r="J219" s="64"/>
      <c r="K219" s="132">
        <v>15</v>
      </c>
      <c r="L219" s="115">
        <v>255.7173109</v>
      </c>
      <c r="M219" s="64"/>
    </row>
    <row r="220" spans="1:13" ht="15.75" customHeight="1">
      <c r="A220" s="64"/>
      <c r="B220" s="64"/>
      <c r="C220" s="114" t="s">
        <v>378</v>
      </c>
      <c r="D220" s="64"/>
      <c r="E220" s="64"/>
      <c r="F220" s="64"/>
      <c r="G220" s="64"/>
      <c r="H220" s="64"/>
      <c r="I220" s="64"/>
      <c r="J220" s="64"/>
      <c r="K220" s="132">
        <v>16</v>
      </c>
      <c r="L220" s="115">
        <v>65.173301</v>
      </c>
      <c r="M220" s="64"/>
    </row>
    <row r="221" spans="1:13" ht="15.75" customHeight="1">
      <c r="A221" s="64"/>
      <c r="B221" s="64"/>
      <c r="C221" s="114" t="s">
        <v>495</v>
      </c>
      <c r="D221" s="64"/>
      <c r="E221" s="64"/>
      <c r="F221" s="64"/>
      <c r="G221" s="64"/>
      <c r="H221" s="64"/>
      <c r="I221" s="64"/>
      <c r="J221" s="64"/>
      <c r="K221" s="132">
        <v>17</v>
      </c>
      <c r="L221" s="115">
        <v>177.74091</v>
      </c>
      <c r="M221" s="64"/>
    </row>
    <row r="222" spans="1:13" ht="15.75" customHeight="1">
      <c r="A222" s="64"/>
      <c r="B222" s="64"/>
      <c r="C222" s="114" t="s">
        <v>919</v>
      </c>
      <c r="D222" s="64"/>
      <c r="E222" s="64"/>
      <c r="F222" s="64"/>
      <c r="G222" s="64"/>
      <c r="H222" s="64"/>
      <c r="I222" s="64"/>
      <c r="J222" s="64"/>
      <c r="K222" s="116"/>
      <c r="L222" s="115">
        <f>L223-L221-L220-L219</f>
        <v>11.444665729999969</v>
      </c>
      <c r="M222" s="64"/>
    </row>
    <row r="223" spans="1:13" ht="18" customHeight="1" thickBot="1">
      <c r="A223" s="64"/>
      <c r="B223" s="114" t="s">
        <v>772</v>
      </c>
      <c r="C223" s="64"/>
      <c r="D223" s="64"/>
      <c r="E223" s="64"/>
      <c r="F223" s="64"/>
      <c r="G223" s="64"/>
      <c r="H223" s="64"/>
      <c r="I223" s="64"/>
      <c r="J223" s="64"/>
      <c r="K223" s="64"/>
      <c r="L223" s="117">
        <v>510.07618763</v>
      </c>
      <c r="M223" s="118"/>
    </row>
    <row r="224" spans="1:13" ht="33.75" customHeight="1" thickTop="1">
      <c r="A224" s="64"/>
      <c r="B224" s="114" t="s">
        <v>122</v>
      </c>
      <c r="C224" s="64"/>
      <c r="D224" s="64"/>
      <c r="E224" s="64"/>
      <c r="F224" s="64"/>
      <c r="G224" s="64"/>
      <c r="H224" s="64"/>
      <c r="I224" s="64"/>
      <c r="J224" s="64"/>
      <c r="K224" s="64"/>
      <c r="L224" s="115"/>
      <c r="M224" s="64"/>
    </row>
    <row r="225" spans="1:13" ht="15.75" customHeight="1">
      <c r="A225" s="64"/>
      <c r="B225" s="64"/>
      <c r="C225" s="114" t="s">
        <v>998</v>
      </c>
      <c r="D225" s="64"/>
      <c r="E225" s="64"/>
      <c r="F225" s="64"/>
      <c r="G225" s="64"/>
      <c r="H225" s="64"/>
      <c r="I225" s="64"/>
      <c r="J225" s="64"/>
      <c r="K225" s="132" t="s">
        <v>160</v>
      </c>
      <c r="L225" s="115">
        <v>4551.671971</v>
      </c>
      <c r="M225" s="64"/>
    </row>
    <row r="226" spans="1:13" ht="15.75" customHeight="1">
      <c r="A226" s="64"/>
      <c r="B226" s="64"/>
      <c r="C226" s="114" t="s">
        <v>1009</v>
      </c>
      <c r="D226" s="64"/>
      <c r="E226" s="64"/>
      <c r="F226" s="64"/>
      <c r="G226" s="64"/>
      <c r="H226" s="64"/>
      <c r="I226" s="64"/>
      <c r="J226" s="64"/>
      <c r="K226" s="116"/>
      <c r="L226" s="115">
        <v>45.04806755</v>
      </c>
      <c r="M226" s="64"/>
    </row>
    <row r="227" spans="1:13" ht="15.75" customHeight="1">
      <c r="A227" s="64"/>
      <c r="B227" s="64"/>
      <c r="C227" s="114" t="s">
        <v>919</v>
      </c>
      <c r="D227" s="64"/>
      <c r="E227" s="64"/>
      <c r="F227" s="64"/>
      <c r="G227" s="64"/>
      <c r="H227" s="64"/>
      <c r="I227" s="64"/>
      <c r="J227" s="64"/>
      <c r="K227" s="132"/>
      <c r="L227" s="115">
        <f>+L228-L225-L226</f>
        <v>6.5118095300006615</v>
      </c>
      <c r="M227" s="64"/>
    </row>
    <row r="228" spans="1:13" ht="18" customHeight="1" thickBot="1">
      <c r="A228" s="64"/>
      <c r="B228" s="114" t="s">
        <v>1000</v>
      </c>
      <c r="C228" s="64"/>
      <c r="D228" s="64"/>
      <c r="E228" s="64"/>
      <c r="F228" s="64"/>
      <c r="G228" s="64"/>
      <c r="H228" s="64"/>
      <c r="I228" s="64"/>
      <c r="J228" s="64"/>
      <c r="K228" s="116"/>
      <c r="L228" s="117">
        <v>4603.23184808</v>
      </c>
      <c r="M228" s="118"/>
    </row>
    <row r="229" spans="1:13" ht="21" customHeight="1" thickBot="1" thickTop="1">
      <c r="A229" s="112" t="s">
        <v>1108</v>
      </c>
      <c r="B229" s="112"/>
      <c r="C229" s="113"/>
      <c r="D229" s="113"/>
      <c r="E229" s="148"/>
      <c r="F229" s="148"/>
      <c r="G229" s="148"/>
      <c r="H229" s="148"/>
      <c r="I229" s="148"/>
      <c r="J229" s="148"/>
      <c r="K229" s="197"/>
      <c r="L229" s="88">
        <f>+L223+L228</f>
        <v>5113.308035710001</v>
      </c>
      <c r="M229" s="45"/>
    </row>
    <row r="230" spans="1:13" ht="33.75" customHeight="1" thickBot="1" thickTop="1">
      <c r="A230" s="19" t="s">
        <v>100</v>
      </c>
      <c r="B230" s="19"/>
      <c r="H230" s="93"/>
      <c r="I230" s="85"/>
      <c r="J230" s="93"/>
      <c r="K230" s="198"/>
      <c r="L230" s="88">
        <f>SUM(L216,L229,Nonmarketable!O15,Nonmarketable!O19,Nonmarketable!O23,Nonmarketable!O34,Nonmarketable!O51)</f>
        <v>3805399.718677089</v>
      </c>
      <c r="M230" s="136"/>
    </row>
    <row r="231" spans="1:13" s="50" customFormat="1" ht="39.75" customHeight="1" thickBot="1" thickTop="1">
      <c r="A231" s="284" t="s">
        <v>886</v>
      </c>
      <c r="B231" s="149"/>
      <c r="C231" s="150"/>
      <c r="D231" s="150"/>
      <c r="E231" s="151"/>
      <c r="F231" s="151"/>
      <c r="G231" s="151"/>
      <c r="H231" s="151"/>
      <c r="I231" s="151"/>
      <c r="J231" s="151"/>
      <c r="K231" s="151"/>
      <c r="L231" s="285">
        <f>SUM(Marketable!P273,L230)+1</f>
        <v>7836496.328981239</v>
      </c>
      <c r="M231" s="106"/>
    </row>
    <row r="232" spans="1:13" s="50" customFormat="1" ht="15.75" customHeight="1" thickTop="1">
      <c r="A232" s="316"/>
      <c r="B232" s="317"/>
      <c r="C232" s="111"/>
      <c r="D232" s="111"/>
      <c r="E232" s="148"/>
      <c r="F232" s="148"/>
      <c r="G232" s="148"/>
      <c r="H232" s="148"/>
      <c r="I232" s="148"/>
      <c r="J232" s="148"/>
      <c r="K232" s="148"/>
      <c r="L232" s="318"/>
      <c r="M232" s="76"/>
    </row>
    <row r="233" spans="1:13" s="50" customFormat="1" ht="15.75" customHeight="1">
      <c r="A233" s="316"/>
      <c r="B233" s="317"/>
      <c r="C233" s="111"/>
      <c r="D233" s="111"/>
      <c r="E233" s="148"/>
      <c r="F233" s="148"/>
      <c r="G233" s="148"/>
      <c r="H233" s="148"/>
      <c r="I233" s="148"/>
      <c r="J233" s="148"/>
      <c r="K233" s="148"/>
      <c r="L233" s="318"/>
      <c r="M233" s="76"/>
    </row>
    <row r="234" spans="1:13" s="50" customFormat="1" ht="15.75" customHeight="1">
      <c r="A234" s="316"/>
      <c r="B234" s="317"/>
      <c r="C234" s="111"/>
      <c r="D234" s="111"/>
      <c r="E234" s="148"/>
      <c r="F234" s="148"/>
      <c r="G234" s="148"/>
      <c r="H234" s="148"/>
      <c r="I234" s="148"/>
      <c r="J234" s="148"/>
      <c r="K234" s="148"/>
      <c r="L234" s="318"/>
      <c r="M234" s="76"/>
    </row>
    <row r="235" spans="1:13" s="50" customFormat="1" ht="15.75" customHeight="1">
      <c r="A235" s="316"/>
      <c r="B235" s="317"/>
      <c r="C235" s="111"/>
      <c r="D235" s="111"/>
      <c r="E235" s="148"/>
      <c r="F235" s="148"/>
      <c r="G235" s="148"/>
      <c r="H235" s="148"/>
      <c r="I235" s="148"/>
      <c r="J235" s="148"/>
      <c r="K235" s="148"/>
      <c r="L235" s="318"/>
      <c r="M235" s="76"/>
    </row>
    <row r="236" spans="1:13" s="50" customFormat="1" ht="15.75" customHeight="1">
      <c r="A236" s="316"/>
      <c r="B236" s="317"/>
      <c r="C236" s="111"/>
      <c r="D236" s="111"/>
      <c r="E236" s="148"/>
      <c r="F236" s="148"/>
      <c r="G236" s="148"/>
      <c r="H236" s="148"/>
      <c r="I236" s="148"/>
      <c r="J236" s="148"/>
      <c r="K236" s="148"/>
      <c r="L236" s="318"/>
      <c r="M236" s="76"/>
    </row>
    <row r="237" spans="1:13" s="50" customFormat="1" ht="15.75" customHeight="1">
      <c r="A237" s="316"/>
      <c r="B237" s="317"/>
      <c r="C237" s="111"/>
      <c r="D237" s="111"/>
      <c r="E237" s="148"/>
      <c r="F237" s="148"/>
      <c r="G237" s="148"/>
      <c r="H237" s="148"/>
      <c r="I237" s="148"/>
      <c r="J237" s="148"/>
      <c r="K237" s="148"/>
      <c r="L237" s="318"/>
      <c r="M237" s="76"/>
    </row>
    <row r="238" spans="1:13" ht="16.5" customHeight="1" thickBot="1">
      <c r="A238" s="284"/>
      <c r="B238" s="284"/>
      <c r="C238" s="284"/>
      <c r="D238" s="284"/>
      <c r="E238" s="284"/>
      <c r="F238" s="284"/>
      <c r="G238" s="284"/>
      <c r="H238" s="284"/>
      <c r="I238" s="284"/>
      <c r="J238" s="284"/>
      <c r="K238" s="284"/>
      <c r="L238" s="284"/>
      <c r="M238" s="284"/>
    </row>
    <row r="239" spans="1:13" ht="16.5" customHeight="1" thickTop="1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100"/>
      <c r="L239" s="147"/>
      <c r="M239" s="100"/>
    </row>
    <row r="240" spans="1:13" ht="16.5" customHeight="1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100"/>
      <c r="L240" s="147"/>
      <c r="M240" s="100"/>
    </row>
    <row r="241" spans="1:13" ht="16.5" customHeight="1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100"/>
      <c r="L241" s="147"/>
      <c r="M241" s="100"/>
    </row>
    <row r="242" spans="1:13" ht="16.5" customHeight="1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100"/>
      <c r="L242" s="147"/>
      <c r="M242" s="100"/>
    </row>
    <row r="243" spans="1:13" ht="16.5" customHeight="1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100"/>
      <c r="L243" s="147"/>
      <c r="M243" s="100"/>
    </row>
    <row r="244" spans="1:13" ht="16.5" customHeight="1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100"/>
      <c r="L244" s="147"/>
      <c r="M244" s="100"/>
    </row>
    <row r="245" spans="1:13" ht="16.5" customHeight="1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100"/>
      <c r="L245" s="147"/>
      <c r="M245" s="100"/>
    </row>
    <row r="246" spans="1:13" ht="16.5" customHeight="1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100"/>
      <c r="L246" s="147"/>
      <c r="M246" s="100"/>
    </row>
    <row r="247" spans="1:13" ht="16.5" customHeight="1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100"/>
      <c r="L247" s="147"/>
      <c r="M247" s="100"/>
    </row>
    <row r="248" spans="1:13" ht="16.5" customHeight="1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100"/>
      <c r="L248" s="147"/>
      <c r="M248" s="100"/>
    </row>
    <row r="249" spans="1:13" ht="16.5" customHeight="1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100"/>
      <c r="L249" s="147"/>
      <c r="M249" s="100"/>
    </row>
    <row r="250" spans="1:13" ht="16.5" customHeight="1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100"/>
      <c r="L250" s="147"/>
      <c r="M250" s="100"/>
    </row>
    <row r="251" spans="1:13" ht="16.5" customHeight="1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100"/>
      <c r="L251" s="147"/>
      <c r="M251" s="100"/>
    </row>
    <row r="252" spans="1:13" ht="16.5" customHeight="1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100"/>
      <c r="L252" s="147"/>
      <c r="M252" s="100"/>
    </row>
  </sheetData>
  <printOptions horizontalCentered="1"/>
  <pageMargins left="0" right="0" top="0.4" bottom="0.25" header="0" footer="0.18"/>
  <pageSetup fitToHeight="3" horizontalDpi="300" verticalDpi="300" orientation="portrait" scale="50" r:id="rId1"/>
  <rowBreaks count="2" manualBreakCount="2">
    <brk id="76" max="12" man="1"/>
    <brk id="159" max="12" man="1"/>
  </rowBreaks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190"/>
  <sheetViews>
    <sheetView showGridLines="0" view="pageBreakPreview" zoomScale="75" zoomScaleNormal="80" zoomScaleSheetLayoutView="75" workbookViewId="0" topLeftCell="A1">
      <selection activeCell="A2" sqref="A2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2" s="64" customFormat="1" ht="15.75" customHeight="1">
      <c r="A1" s="300" t="s">
        <v>1043</v>
      </c>
      <c r="B1" s="62" t="s">
        <v>728</v>
      </c>
      <c r="C1" s="62"/>
      <c r="D1" s="62"/>
      <c r="E1" s="63"/>
      <c r="F1" s="63"/>
      <c r="G1" s="63"/>
      <c r="H1" s="63"/>
      <c r="I1" s="63"/>
      <c r="J1" s="236"/>
      <c r="K1" s="236"/>
      <c r="L1" s="61"/>
    </row>
    <row r="2" spans="1:12" s="376" customFormat="1" ht="30.75" customHeight="1">
      <c r="A2" s="378"/>
      <c r="B2" s="379" t="s">
        <v>184</v>
      </c>
      <c r="C2" s="380"/>
      <c r="D2" s="380"/>
      <c r="E2" s="381"/>
      <c r="F2" s="381"/>
      <c r="G2" s="381"/>
      <c r="H2" s="381"/>
      <c r="I2" s="381"/>
      <c r="J2" s="382"/>
      <c r="L2" s="377"/>
    </row>
    <row r="3" spans="1:12" s="392" customFormat="1" ht="48" customHeight="1">
      <c r="A3" s="387" t="s">
        <v>571</v>
      </c>
      <c r="B3" s="387"/>
      <c r="C3" s="387"/>
      <c r="D3" s="388" t="s">
        <v>730</v>
      </c>
      <c r="E3" s="388" t="s">
        <v>731</v>
      </c>
      <c r="F3" s="389" t="s">
        <v>158</v>
      </c>
      <c r="G3" s="389" t="s">
        <v>755</v>
      </c>
      <c r="H3" s="390" t="s">
        <v>910</v>
      </c>
      <c r="I3" s="391" t="s">
        <v>842</v>
      </c>
      <c r="J3" s="387"/>
      <c r="L3" s="393"/>
    </row>
    <row r="4" spans="1:12" s="64" customFormat="1" ht="36.75" customHeight="1">
      <c r="A4" s="227" t="s">
        <v>1109</v>
      </c>
      <c r="D4" s="383">
        <f>+Summary!F26</f>
        <v>4527696.71965302</v>
      </c>
      <c r="E4" s="384">
        <v>4218910</v>
      </c>
      <c r="F4" s="384">
        <v>4307345</v>
      </c>
      <c r="G4" s="384">
        <v>3924090</v>
      </c>
      <c r="H4" s="385">
        <v>3553180.248</v>
      </c>
      <c r="I4" s="324">
        <v>3339310</v>
      </c>
      <c r="J4" s="386"/>
      <c r="K4" s="241"/>
      <c r="L4" s="239"/>
    </row>
    <row r="5" spans="1:12" s="64" customFormat="1" ht="21" customHeight="1">
      <c r="A5" s="227" t="s">
        <v>88</v>
      </c>
      <c r="D5" s="222">
        <f>Summary!I26</f>
        <v>3308799.132328219</v>
      </c>
      <c r="E5" s="289">
        <v>3055425</v>
      </c>
      <c r="F5" s="289">
        <v>3071708</v>
      </c>
      <c r="G5" s="289">
        <v>2859141</v>
      </c>
      <c r="H5" s="222">
        <v>2675055.718</v>
      </c>
      <c r="I5" s="325">
        <v>2468153</v>
      </c>
      <c r="J5" s="223"/>
      <c r="K5" s="241"/>
      <c r="L5" s="239"/>
    </row>
    <row r="6" spans="1:12" s="64" customFormat="1" ht="21" customHeight="1" thickBot="1">
      <c r="A6" s="228" t="s">
        <v>89</v>
      </c>
      <c r="B6" s="220"/>
      <c r="C6" s="220"/>
      <c r="D6" s="221">
        <f>+Summary!L26</f>
        <v>7836496.328981239</v>
      </c>
      <c r="E6" s="224">
        <f>SUM(E4:E5)</f>
        <v>7274335</v>
      </c>
      <c r="F6" s="224">
        <f>SUM(F4:F5)</f>
        <v>7379053</v>
      </c>
      <c r="G6" s="224">
        <f>SUM(G4:G5)</f>
        <v>6783231</v>
      </c>
      <c r="H6" s="224">
        <f>SUM(H4:H5)</f>
        <v>6228235.966</v>
      </c>
      <c r="I6" s="224">
        <f>SUM(I4:I5)</f>
        <v>5807463</v>
      </c>
      <c r="J6" s="225"/>
      <c r="K6" s="241"/>
      <c r="L6" s="239"/>
    </row>
    <row r="7" spans="1:13" s="64" customFormat="1" ht="41.25" customHeight="1" thickBot="1" thickTop="1">
      <c r="A7" s="230" t="s">
        <v>729</v>
      </c>
      <c r="B7" s="230"/>
      <c r="C7" s="230"/>
      <c r="D7" s="230"/>
      <c r="E7" s="231"/>
      <c r="F7" s="231"/>
      <c r="G7" s="231"/>
      <c r="H7" s="231"/>
      <c r="I7" s="231"/>
      <c r="J7" s="230"/>
      <c r="L7" s="241"/>
      <c r="M7" s="114" t="s">
        <v>123</v>
      </c>
    </row>
    <row r="8" spans="4:12" s="64" customFormat="1" ht="30" customHeight="1" thickTop="1">
      <c r="D8" s="243" t="s">
        <v>399</v>
      </c>
      <c r="E8" s="65"/>
      <c r="F8" s="244" t="s">
        <v>185</v>
      </c>
      <c r="G8" s="63"/>
      <c r="H8" s="63"/>
      <c r="I8" s="229"/>
      <c r="J8" s="239"/>
      <c r="K8" s="239"/>
      <c r="L8" s="239"/>
    </row>
    <row r="9" spans="1:11" s="64" customFormat="1" ht="16.5" customHeight="1">
      <c r="A9" s="63" t="s">
        <v>102</v>
      </c>
      <c r="B9" s="63"/>
      <c r="C9" s="63"/>
      <c r="D9" s="243" t="s">
        <v>400</v>
      </c>
      <c r="E9" s="243" t="s">
        <v>401</v>
      </c>
      <c r="F9" s="65"/>
      <c r="I9" s="245" t="s">
        <v>785</v>
      </c>
      <c r="J9" s="240"/>
      <c r="K9" s="236"/>
    </row>
    <row r="10" spans="4:12" s="64" customFormat="1" ht="15.75" customHeight="1">
      <c r="D10" s="243" t="s">
        <v>167</v>
      </c>
      <c r="E10" s="65"/>
      <c r="F10" s="246" t="s">
        <v>168</v>
      </c>
      <c r="G10" s="246" t="s">
        <v>169</v>
      </c>
      <c r="H10" s="246" t="s">
        <v>169</v>
      </c>
      <c r="I10" s="247" t="s">
        <v>761</v>
      </c>
      <c r="J10" s="53">
        <v>18</v>
      </c>
      <c r="K10" s="100"/>
      <c r="L10" s="100"/>
    </row>
    <row r="11" spans="1:10" s="64" customFormat="1" ht="14.25" customHeight="1">
      <c r="A11" s="66"/>
      <c r="B11" s="66"/>
      <c r="C11" s="66"/>
      <c r="D11" s="67"/>
      <c r="E11" s="67"/>
      <c r="F11" s="248" t="s">
        <v>65</v>
      </c>
      <c r="G11" s="249" t="s">
        <v>175</v>
      </c>
      <c r="H11" s="249" t="s">
        <v>176</v>
      </c>
      <c r="I11" s="250"/>
      <c r="J11" s="242"/>
    </row>
    <row r="12" spans="1:12" s="64" customFormat="1" ht="28.5" customHeight="1">
      <c r="A12" s="114" t="s">
        <v>177</v>
      </c>
      <c r="D12" s="65"/>
      <c r="E12" s="65"/>
      <c r="F12" s="115"/>
      <c r="G12" s="115"/>
      <c r="H12" s="115"/>
      <c r="I12" s="68"/>
      <c r="J12" s="239"/>
      <c r="K12" s="100"/>
      <c r="L12" s="100"/>
    </row>
    <row r="13" spans="1:10" s="64" customFormat="1" ht="13.5" customHeight="1">
      <c r="A13" s="114" t="s">
        <v>86</v>
      </c>
      <c r="C13" s="251" t="s">
        <v>864</v>
      </c>
      <c r="D13" s="65"/>
      <c r="E13" s="65"/>
      <c r="F13" s="115"/>
      <c r="G13" s="115"/>
      <c r="H13" s="115"/>
      <c r="I13" s="68"/>
      <c r="J13" s="239"/>
    </row>
    <row r="14" spans="1:12" s="64" customFormat="1" ht="15.75" customHeight="1">
      <c r="A14" s="114" t="s">
        <v>1128</v>
      </c>
      <c r="C14" s="357">
        <v>10.75</v>
      </c>
      <c r="D14" s="358" t="s">
        <v>601</v>
      </c>
      <c r="E14" s="254">
        <v>38579</v>
      </c>
      <c r="F14" s="115">
        <v>9269713</v>
      </c>
      <c r="G14" s="115">
        <v>5598148</v>
      </c>
      <c r="H14" s="115">
        <f aca="true" t="shared" si="0" ref="H14:H49">SUM(F14-G14)</f>
        <v>3671565</v>
      </c>
      <c r="I14" s="68">
        <v>211220</v>
      </c>
      <c r="J14" s="239"/>
      <c r="K14" s="236"/>
      <c r="L14" s="63"/>
    </row>
    <row r="15" spans="1:10" s="64" customFormat="1" ht="15" customHeight="1">
      <c r="A15" s="114" t="s">
        <v>1130</v>
      </c>
      <c r="C15" s="357">
        <v>9.375</v>
      </c>
      <c r="D15" s="358" t="s">
        <v>602</v>
      </c>
      <c r="E15" s="254">
        <v>38763</v>
      </c>
      <c r="F15" s="115">
        <v>4755916</v>
      </c>
      <c r="G15" s="115">
        <v>4138841</v>
      </c>
      <c r="H15" s="115">
        <f t="shared" si="0"/>
        <v>617075</v>
      </c>
      <c r="I15" s="68">
        <v>12200</v>
      </c>
      <c r="J15" s="239"/>
    </row>
    <row r="16" spans="1:12" s="64" customFormat="1" ht="15" customHeight="1">
      <c r="A16" s="114" t="s">
        <v>1137</v>
      </c>
      <c r="B16" s="127" t="s">
        <v>62</v>
      </c>
      <c r="C16" s="357">
        <v>11.75</v>
      </c>
      <c r="D16" s="358" t="s">
        <v>1020</v>
      </c>
      <c r="E16" s="254">
        <v>41958</v>
      </c>
      <c r="F16" s="115">
        <v>5015284</v>
      </c>
      <c r="G16" s="115">
        <v>2196562</v>
      </c>
      <c r="H16" s="115">
        <f t="shared" si="0"/>
        <v>2818722</v>
      </c>
      <c r="I16" s="68">
        <v>0</v>
      </c>
      <c r="J16" s="239"/>
      <c r="K16" s="100"/>
      <c r="L16" s="100"/>
    </row>
    <row r="17" spans="1:10" s="64" customFormat="1" ht="15" customHeight="1">
      <c r="A17" s="114" t="s">
        <v>1138</v>
      </c>
      <c r="C17" s="357">
        <v>11.25</v>
      </c>
      <c r="D17" s="358" t="s">
        <v>1021</v>
      </c>
      <c r="E17" s="254">
        <v>42050</v>
      </c>
      <c r="F17" s="115">
        <v>10520299</v>
      </c>
      <c r="G17" s="115">
        <v>9253703</v>
      </c>
      <c r="H17" s="115">
        <f t="shared" si="0"/>
        <v>1266596</v>
      </c>
      <c r="I17" s="68">
        <v>587280</v>
      </c>
      <c r="J17" s="239"/>
    </row>
    <row r="18" spans="1:10" s="64" customFormat="1" ht="15.75" customHeight="1">
      <c r="A18" s="114" t="s">
        <v>1139</v>
      </c>
      <c r="C18" s="357">
        <v>10.625</v>
      </c>
      <c r="D18" s="358" t="s">
        <v>603</v>
      </c>
      <c r="E18" s="254">
        <v>42231</v>
      </c>
      <c r="F18" s="115">
        <v>4023916</v>
      </c>
      <c r="G18" s="115">
        <v>3229335</v>
      </c>
      <c r="H18" s="115">
        <f t="shared" si="0"/>
        <v>794581</v>
      </c>
      <c r="I18" s="68">
        <v>47680</v>
      </c>
      <c r="J18" s="239"/>
    </row>
    <row r="19" spans="1:10" s="64" customFormat="1" ht="15" customHeight="1">
      <c r="A19" s="114" t="s">
        <v>1140</v>
      </c>
      <c r="C19" s="357">
        <v>9.875</v>
      </c>
      <c r="D19" s="358" t="s">
        <v>604</v>
      </c>
      <c r="E19" s="254">
        <v>42323</v>
      </c>
      <c r="F19" s="115">
        <v>5584859</v>
      </c>
      <c r="G19" s="115">
        <v>3706618</v>
      </c>
      <c r="H19" s="115">
        <f t="shared" si="0"/>
        <v>1878241</v>
      </c>
      <c r="I19" s="68">
        <v>281600</v>
      </c>
      <c r="J19" s="239"/>
    </row>
    <row r="20" spans="1:10" s="64" customFormat="1" ht="15" customHeight="1">
      <c r="A20" s="114" t="s">
        <v>1141</v>
      </c>
      <c r="C20" s="357">
        <v>9.25</v>
      </c>
      <c r="D20" s="358" t="s">
        <v>605</v>
      </c>
      <c r="E20" s="254">
        <v>42415</v>
      </c>
      <c r="F20" s="115">
        <v>5431754</v>
      </c>
      <c r="G20" s="115">
        <v>5208540</v>
      </c>
      <c r="H20" s="115">
        <f t="shared" si="0"/>
        <v>223214</v>
      </c>
      <c r="I20" s="68">
        <v>47378</v>
      </c>
      <c r="J20" s="239"/>
    </row>
    <row r="21" spans="1:10" s="64" customFormat="1" ht="15.75" customHeight="1">
      <c r="A21" s="114" t="s">
        <v>1142</v>
      </c>
      <c r="C21" s="357">
        <v>7.25</v>
      </c>
      <c r="D21" s="358" t="s">
        <v>606</v>
      </c>
      <c r="E21" s="254">
        <v>42505</v>
      </c>
      <c r="F21" s="115">
        <v>18823551</v>
      </c>
      <c r="G21" s="115">
        <v>18387576</v>
      </c>
      <c r="H21" s="115">
        <f t="shared" si="0"/>
        <v>435975</v>
      </c>
      <c r="I21" s="68">
        <v>193200</v>
      </c>
      <c r="J21" s="239"/>
    </row>
    <row r="22" spans="1:10" s="64" customFormat="1" ht="15" customHeight="1">
      <c r="A22" s="114" t="s">
        <v>1143</v>
      </c>
      <c r="C22" s="357">
        <v>7.5</v>
      </c>
      <c r="D22" s="358" t="s">
        <v>607</v>
      </c>
      <c r="E22" s="254">
        <v>42689</v>
      </c>
      <c r="F22" s="115">
        <v>18787448</v>
      </c>
      <c r="G22" s="115">
        <v>17040955</v>
      </c>
      <c r="H22" s="115">
        <f t="shared" si="0"/>
        <v>1746493</v>
      </c>
      <c r="I22" s="68">
        <v>255680</v>
      </c>
      <c r="J22" s="239"/>
    </row>
    <row r="23" spans="1:10" s="64" customFormat="1" ht="15" customHeight="1">
      <c r="A23" s="114" t="s">
        <v>1144</v>
      </c>
      <c r="C23" s="357">
        <v>8.75</v>
      </c>
      <c r="D23" s="358" t="s">
        <v>608</v>
      </c>
      <c r="E23" s="254">
        <v>42870</v>
      </c>
      <c r="F23" s="115">
        <v>15559169</v>
      </c>
      <c r="G23" s="115">
        <v>9493712</v>
      </c>
      <c r="H23" s="115">
        <f t="shared" si="0"/>
        <v>6065457</v>
      </c>
      <c r="I23" s="68">
        <v>604840</v>
      </c>
      <c r="J23" s="239"/>
    </row>
    <row r="24" spans="1:10" s="64" customFormat="1" ht="15.75" customHeight="1">
      <c r="A24" s="114" t="s">
        <v>1145</v>
      </c>
      <c r="C24" s="357">
        <v>8.875</v>
      </c>
      <c r="D24" s="358" t="s">
        <v>609</v>
      </c>
      <c r="E24" s="254">
        <v>42962</v>
      </c>
      <c r="F24" s="115">
        <v>10968358</v>
      </c>
      <c r="G24" s="115">
        <v>7539546</v>
      </c>
      <c r="H24" s="115">
        <f t="shared" si="0"/>
        <v>3428812</v>
      </c>
      <c r="I24" s="68">
        <v>637400</v>
      </c>
      <c r="J24" s="239"/>
    </row>
    <row r="25" spans="1:10" s="64" customFormat="1" ht="15" customHeight="1">
      <c r="A25" s="114" t="s">
        <v>1146</v>
      </c>
      <c r="C25" s="357">
        <v>9.125</v>
      </c>
      <c r="D25" s="358" t="s">
        <v>610</v>
      </c>
      <c r="E25" s="254">
        <v>43235</v>
      </c>
      <c r="F25" s="115">
        <v>6717439</v>
      </c>
      <c r="G25" s="115">
        <v>3637021</v>
      </c>
      <c r="H25" s="115">
        <f t="shared" si="0"/>
        <v>3080418</v>
      </c>
      <c r="I25" s="68">
        <v>102400</v>
      </c>
      <c r="J25" s="239"/>
    </row>
    <row r="26" spans="1:10" s="64" customFormat="1" ht="15" customHeight="1">
      <c r="A26" s="114" t="s">
        <v>1147</v>
      </c>
      <c r="C26" s="357">
        <v>9</v>
      </c>
      <c r="D26" s="358" t="s">
        <v>611</v>
      </c>
      <c r="E26" s="254">
        <v>43419</v>
      </c>
      <c r="F26" s="115">
        <v>7174470</v>
      </c>
      <c r="G26" s="115">
        <v>4046639</v>
      </c>
      <c r="H26" s="115">
        <f t="shared" si="0"/>
        <v>3127831</v>
      </c>
      <c r="I26" s="68">
        <v>311200</v>
      </c>
      <c r="J26" s="239"/>
    </row>
    <row r="27" spans="1:10" s="64" customFormat="1" ht="15" customHeight="1">
      <c r="A27" s="114" t="s">
        <v>1148</v>
      </c>
      <c r="C27" s="357">
        <v>8.875</v>
      </c>
      <c r="D27" s="358" t="s">
        <v>612</v>
      </c>
      <c r="E27" s="254">
        <v>43511</v>
      </c>
      <c r="F27" s="115">
        <v>13090498</v>
      </c>
      <c r="G27" s="115">
        <v>7776834</v>
      </c>
      <c r="H27" s="115">
        <f t="shared" si="0"/>
        <v>5313664</v>
      </c>
      <c r="I27" s="68">
        <v>798400</v>
      </c>
      <c r="J27" s="239"/>
    </row>
    <row r="28" spans="1:10" s="64" customFormat="1" ht="15" customHeight="1">
      <c r="A28" s="114" t="s">
        <v>1149</v>
      </c>
      <c r="C28" s="357">
        <v>8.125</v>
      </c>
      <c r="D28" s="358" t="s">
        <v>613</v>
      </c>
      <c r="E28" s="254">
        <v>43692</v>
      </c>
      <c r="F28" s="115">
        <v>18940932</v>
      </c>
      <c r="G28" s="115">
        <v>17187802</v>
      </c>
      <c r="H28" s="115">
        <f t="shared" si="0"/>
        <v>1753130</v>
      </c>
      <c r="I28" s="68">
        <v>942400</v>
      </c>
      <c r="J28" s="239"/>
    </row>
    <row r="29" spans="1:10" s="64" customFormat="1" ht="14.25" customHeight="1">
      <c r="A29" s="114" t="s">
        <v>1150</v>
      </c>
      <c r="C29" s="357">
        <v>8.5</v>
      </c>
      <c r="D29" s="358" t="s">
        <v>614</v>
      </c>
      <c r="E29" s="254">
        <v>43876</v>
      </c>
      <c r="F29" s="115">
        <v>9476268</v>
      </c>
      <c r="G29" s="115">
        <v>5959615</v>
      </c>
      <c r="H29" s="115">
        <f t="shared" si="0"/>
        <v>3516653</v>
      </c>
      <c r="I29" s="68">
        <v>656200</v>
      </c>
      <c r="J29" s="239"/>
    </row>
    <row r="30" spans="1:10" s="64" customFormat="1" ht="15" customHeight="1">
      <c r="A30" s="114" t="s">
        <v>1151</v>
      </c>
      <c r="C30" s="357">
        <v>8.75</v>
      </c>
      <c r="D30" s="358" t="s">
        <v>615</v>
      </c>
      <c r="E30" s="254">
        <v>43966</v>
      </c>
      <c r="F30" s="115">
        <v>7582183</v>
      </c>
      <c r="G30" s="115">
        <v>3298110</v>
      </c>
      <c r="H30" s="115">
        <f t="shared" si="0"/>
        <v>4284073</v>
      </c>
      <c r="I30" s="68">
        <v>374640</v>
      </c>
      <c r="J30" s="239"/>
    </row>
    <row r="31" spans="1:10" s="64" customFormat="1" ht="15" customHeight="1">
      <c r="A31" s="114" t="s">
        <v>1152</v>
      </c>
      <c r="C31" s="357">
        <v>8.75</v>
      </c>
      <c r="D31" s="358" t="s">
        <v>616</v>
      </c>
      <c r="E31" s="254">
        <v>44058</v>
      </c>
      <c r="F31" s="115">
        <v>17059306</v>
      </c>
      <c r="G31" s="115">
        <v>9908279</v>
      </c>
      <c r="H31" s="115">
        <f t="shared" si="0"/>
        <v>7151027</v>
      </c>
      <c r="I31" s="68">
        <v>1835206</v>
      </c>
      <c r="J31" s="239"/>
    </row>
    <row r="32" spans="1:10" s="64" customFormat="1" ht="15" customHeight="1">
      <c r="A32" s="114" t="s">
        <v>1153</v>
      </c>
      <c r="C32" s="357">
        <v>7.875</v>
      </c>
      <c r="D32" s="358" t="s">
        <v>617</v>
      </c>
      <c r="E32" s="254">
        <v>44242</v>
      </c>
      <c r="F32" s="115">
        <v>10075573</v>
      </c>
      <c r="G32" s="115">
        <v>9038626</v>
      </c>
      <c r="H32" s="115">
        <f t="shared" si="0"/>
        <v>1036947</v>
      </c>
      <c r="I32" s="68">
        <v>1630637</v>
      </c>
      <c r="J32" s="239"/>
    </row>
    <row r="33" spans="1:10" s="64" customFormat="1" ht="15" customHeight="1">
      <c r="A33" s="114" t="s">
        <v>285</v>
      </c>
      <c r="C33" s="357">
        <v>8.125</v>
      </c>
      <c r="D33" s="358" t="s">
        <v>618</v>
      </c>
      <c r="E33" s="254">
        <v>44331</v>
      </c>
      <c r="F33" s="115">
        <v>10066788</v>
      </c>
      <c r="G33" s="115">
        <v>4543299</v>
      </c>
      <c r="H33" s="115">
        <f t="shared" si="0"/>
        <v>5523489</v>
      </c>
      <c r="I33" s="68">
        <v>656280</v>
      </c>
      <c r="J33" s="239"/>
    </row>
    <row r="34" spans="1:10" s="64" customFormat="1" ht="15" customHeight="1">
      <c r="A34" s="114" t="s">
        <v>286</v>
      </c>
      <c r="C34" s="357">
        <v>8.125</v>
      </c>
      <c r="D34" s="358" t="s">
        <v>619</v>
      </c>
      <c r="E34" s="254">
        <v>44423</v>
      </c>
      <c r="F34" s="115">
        <v>9506382</v>
      </c>
      <c r="G34" s="115">
        <v>6827869</v>
      </c>
      <c r="H34" s="115">
        <f t="shared" si="0"/>
        <v>2678513</v>
      </c>
      <c r="I34" s="68">
        <v>1332941</v>
      </c>
      <c r="J34" s="239"/>
    </row>
    <row r="35" spans="1:10" s="64" customFormat="1" ht="15" customHeight="1">
      <c r="A35" s="114" t="s">
        <v>287</v>
      </c>
      <c r="C35" s="357">
        <v>8</v>
      </c>
      <c r="D35" s="358" t="s">
        <v>620</v>
      </c>
      <c r="E35" s="254">
        <v>44515</v>
      </c>
      <c r="F35" s="115">
        <v>30632194</v>
      </c>
      <c r="G35" s="115">
        <v>16573416</v>
      </c>
      <c r="H35" s="115">
        <f t="shared" si="0"/>
        <v>14058778</v>
      </c>
      <c r="I35" s="68">
        <v>3844450</v>
      </c>
      <c r="J35" s="239"/>
    </row>
    <row r="36" spans="1:10" s="64" customFormat="1" ht="15" customHeight="1">
      <c r="A36" s="114" t="s">
        <v>288</v>
      </c>
      <c r="C36" s="357">
        <v>7.25</v>
      </c>
      <c r="D36" s="358" t="s">
        <v>621</v>
      </c>
      <c r="E36" s="254">
        <v>44788</v>
      </c>
      <c r="F36" s="115">
        <v>10127790</v>
      </c>
      <c r="G36" s="115">
        <v>7041270</v>
      </c>
      <c r="H36" s="115">
        <f t="shared" si="0"/>
        <v>3086520</v>
      </c>
      <c r="I36" s="68">
        <v>868800</v>
      </c>
      <c r="J36" s="239"/>
    </row>
    <row r="37" spans="1:10" s="64" customFormat="1" ht="15" customHeight="1">
      <c r="A37" s="114" t="s">
        <v>289</v>
      </c>
      <c r="C37" s="357">
        <v>7.625</v>
      </c>
      <c r="D37" s="358" t="s">
        <v>622</v>
      </c>
      <c r="E37" s="254">
        <v>44880</v>
      </c>
      <c r="F37" s="115">
        <v>7423626</v>
      </c>
      <c r="G37" s="115">
        <v>3512768</v>
      </c>
      <c r="H37" s="115">
        <f t="shared" si="0"/>
        <v>3910858</v>
      </c>
      <c r="I37" s="68">
        <v>866800</v>
      </c>
      <c r="J37" s="239"/>
    </row>
    <row r="38" spans="1:10" s="64" customFormat="1" ht="15" customHeight="1">
      <c r="A38" s="114" t="s">
        <v>290</v>
      </c>
      <c r="C38" s="357">
        <v>7.125</v>
      </c>
      <c r="D38" s="358" t="s">
        <v>623</v>
      </c>
      <c r="E38" s="254">
        <v>44972</v>
      </c>
      <c r="F38" s="115">
        <v>15782061</v>
      </c>
      <c r="G38" s="115">
        <v>11529749</v>
      </c>
      <c r="H38" s="115">
        <f t="shared" si="0"/>
        <v>4252312</v>
      </c>
      <c r="I38" s="68">
        <v>1099400</v>
      </c>
      <c r="J38" s="239"/>
    </row>
    <row r="39" spans="1:10" s="64" customFormat="1" ht="15" customHeight="1">
      <c r="A39" s="114" t="s">
        <v>291</v>
      </c>
      <c r="C39" s="357">
        <v>6.25</v>
      </c>
      <c r="D39" s="358" t="s">
        <v>624</v>
      </c>
      <c r="E39" s="254">
        <v>45153</v>
      </c>
      <c r="F39" s="115">
        <v>22659044</v>
      </c>
      <c r="G39" s="115">
        <v>18975491</v>
      </c>
      <c r="H39" s="115">
        <f t="shared" si="0"/>
        <v>3683553</v>
      </c>
      <c r="I39" s="68">
        <v>395168</v>
      </c>
      <c r="J39" s="239"/>
    </row>
    <row r="40" spans="1:10" s="64" customFormat="1" ht="15" customHeight="1">
      <c r="A40" s="114" t="s">
        <v>292</v>
      </c>
      <c r="C40" s="357">
        <v>7.5</v>
      </c>
      <c r="D40" s="358" t="s">
        <v>625</v>
      </c>
      <c r="E40" s="254">
        <v>45611</v>
      </c>
      <c r="F40" s="115">
        <v>9604162</v>
      </c>
      <c r="G40" s="115">
        <v>3801419</v>
      </c>
      <c r="H40" s="115">
        <f t="shared" si="0"/>
        <v>5802743</v>
      </c>
      <c r="I40" s="68">
        <v>1060120</v>
      </c>
      <c r="J40" s="239"/>
    </row>
    <row r="41" spans="1:10" s="64" customFormat="1" ht="15" customHeight="1">
      <c r="A41" s="114" t="s">
        <v>293</v>
      </c>
      <c r="C41" s="357">
        <v>7.625</v>
      </c>
      <c r="D41" s="358" t="s">
        <v>626</v>
      </c>
      <c r="E41" s="254">
        <v>45703</v>
      </c>
      <c r="F41" s="115">
        <v>9509170</v>
      </c>
      <c r="G41" s="115">
        <v>3970469</v>
      </c>
      <c r="H41" s="115">
        <f t="shared" si="0"/>
        <v>5538701</v>
      </c>
      <c r="I41" s="68">
        <v>587200</v>
      </c>
      <c r="J41" s="239"/>
    </row>
    <row r="42" spans="1:10" s="64" customFormat="1" ht="15" customHeight="1">
      <c r="A42" s="114" t="s">
        <v>294</v>
      </c>
      <c r="C42" s="357">
        <v>6.875</v>
      </c>
      <c r="D42" s="358" t="s">
        <v>627</v>
      </c>
      <c r="E42" s="254">
        <v>45884</v>
      </c>
      <c r="F42" s="115">
        <v>11187207</v>
      </c>
      <c r="G42" s="115">
        <v>6710326</v>
      </c>
      <c r="H42" s="115">
        <f t="shared" si="0"/>
        <v>4476881</v>
      </c>
      <c r="I42" s="68">
        <v>512000</v>
      </c>
      <c r="J42" s="239"/>
    </row>
    <row r="43" spans="1:10" s="64" customFormat="1" ht="15" customHeight="1">
      <c r="A43" s="114" t="s">
        <v>295</v>
      </c>
      <c r="C43" s="357">
        <v>6</v>
      </c>
      <c r="D43" s="358" t="s">
        <v>628</v>
      </c>
      <c r="E43" s="254">
        <v>46068</v>
      </c>
      <c r="F43" s="115">
        <v>12837916</v>
      </c>
      <c r="G43" s="115">
        <v>11976972</v>
      </c>
      <c r="H43" s="115">
        <f t="shared" si="0"/>
        <v>860944</v>
      </c>
      <c r="I43" s="68">
        <v>628400</v>
      </c>
      <c r="J43" s="239"/>
    </row>
    <row r="44" spans="1:10" s="64" customFormat="1" ht="15" customHeight="1">
      <c r="A44" s="114" t="s">
        <v>296</v>
      </c>
      <c r="C44" s="357">
        <v>6.75</v>
      </c>
      <c r="D44" s="358" t="s">
        <v>629</v>
      </c>
      <c r="E44" s="254">
        <v>46249</v>
      </c>
      <c r="F44" s="115">
        <v>8810418</v>
      </c>
      <c r="G44" s="115">
        <v>3918255</v>
      </c>
      <c r="H44" s="115">
        <f t="shared" si="0"/>
        <v>4892163</v>
      </c>
      <c r="I44" s="68">
        <v>559200</v>
      </c>
      <c r="J44" s="239"/>
    </row>
    <row r="45" spans="1:10" s="64" customFormat="1" ht="14.25" customHeight="1">
      <c r="A45" s="114" t="s">
        <v>297</v>
      </c>
      <c r="C45" s="357">
        <v>6.5</v>
      </c>
      <c r="D45" s="358" t="s">
        <v>630</v>
      </c>
      <c r="E45" s="254">
        <v>46341</v>
      </c>
      <c r="F45" s="115">
        <v>10860177</v>
      </c>
      <c r="G45" s="115">
        <v>5159760</v>
      </c>
      <c r="H45" s="115">
        <f t="shared" si="0"/>
        <v>5700417</v>
      </c>
      <c r="I45" s="68">
        <v>1228000</v>
      </c>
      <c r="J45" s="239"/>
    </row>
    <row r="46" spans="1:9" s="64" customFormat="1" ht="15" customHeight="1">
      <c r="A46" s="114" t="s">
        <v>298</v>
      </c>
      <c r="C46" s="357">
        <v>6.625</v>
      </c>
      <c r="D46" s="358" t="s">
        <v>631</v>
      </c>
      <c r="E46" s="254">
        <v>46433</v>
      </c>
      <c r="F46" s="115">
        <v>9521971</v>
      </c>
      <c r="G46" s="115">
        <v>4539260</v>
      </c>
      <c r="H46" s="115">
        <f t="shared" si="0"/>
        <v>4982711</v>
      </c>
      <c r="I46" s="68">
        <v>422000</v>
      </c>
    </row>
    <row r="47" spans="1:9" s="64" customFormat="1" ht="15" customHeight="1">
      <c r="A47" s="114" t="s">
        <v>299</v>
      </c>
      <c r="C47" s="357">
        <v>6.375</v>
      </c>
      <c r="D47" s="358" t="s">
        <v>632</v>
      </c>
      <c r="E47" s="254">
        <v>46614</v>
      </c>
      <c r="F47" s="115">
        <v>9196756</v>
      </c>
      <c r="G47" s="115">
        <v>5244267</v>
      </c>
      <c r="H47" s="115">
        <f t="shared" si="0"/>
        <v>3952489</v>
      </c>
      <c r="I47" s="68">
        <v>1118400</v>
      </c>
    </row>
    <row r="48" spans="1:9" s="64" customFormat="1" ht="14.25" customHeight="1">
      <c r="A48" s="114" t="s">
        <v>300</v>
      </c>
      <c r="C48" s="357">
        <v>6.125</v>
      </c>
      <c r="D48" s="358" t="s">
        <v>633</v>
      </c>
      <c r="E48" s="254">
        <v>46706</v>
      </c>
      <c r="F48" s="115">
        <v>22021339</v>
      </c>
      <c r="G48" s="115">
        <v>8813763</v>
      </c>
      <c r="H48" s="115">
        <f t="shared" si="0"/>
        <v>13207576</v>
      </c>
      <c r="I48" s="68">
        <v>2046612</v>
      </c>
    </row>
    <row r="49" spans="1:9" s="64" customFormat="1" ht="15" customHeight="1">
      <c r="A49" s="114" t="s">
        <v>301</v>
      </c>
      <c r="C49" s="357">
        <v>5.5</v>
      </c>
      <c r="D49" s="358" t="s">
        <v>634</v>
      </c>
      <c r="E49" s="254">
        <v>46980</v>
      </c>
      <c r="F49" s="115">
        <v>11776201</v>
      </c>
      <c r="G49" s="115">
        <v>10662629</v>
      </c>
      <c r="H49" s="115">
        <f t="shared" si="0"/>
        <v>1113572</v>
      </c>
      <c r="I49" s="68">
        <v>508200</v>
      </c>
    </row>
    <row r="50" spans="1:9" s="64" customFormat="1" ht="15" customHeight="1">
      <c r="A50" s="114" t="s">
        <v>302</v>
      </c>
      <c r="C50" s="357">
        <v>5.25</v>
      </c>
      <c r="D50" s="358" t="s">
        <v>635</v>
      </c>
      <c r="E50" s="254">
        <v>47072</v>
      </c>
      <c r="F50" s="115">
        <v>10947052</v>
      </c>
      <c r="G50" s="115">
        <v>9470596</v>
      </c>
      <c r="H50" s="115">
        <f>SUM(F50-G50)</f>
        <v>1476456</v>
      </c>
      <c r="I50" s="68">
        <v>1151000</v>
      </c>
    </row>
    <row r="51" spans="1:10" s="64" customFormat="1" ht="15" customHeight="1">
      <c r="A51" s="114" t="s">
        <v>303</v>
      </c>
      <c r="C51" s="357">
        <v>5.25</v>
      </c>
      <c r="D51" s="358" t="s">
        <v>636</v>
      </c>
      <c r="E51" s="254">
        <v>47164</v>
      </c>
      <c r="F51" s="115">
        <v>11350341</v>
      </c>
      <c r="G51" s="115">
        <v>10328845</v>
      </c>
      <c r="H51" s="115">
        <f>SUM(F51-G51)</f>
        <v>1021496</v>
      </c>
      <c r="I51" s="68">
        <v>354400</v>
      </c>
      <c r="J51" s="292"/>
    </row>
    <row r="52" spans="1:9" s="64" customFormat="1" ht="15" customHeight="1">
      <c r="A52" s="114" t="s">
        <v>304</v>
      </c>
      <c r="C52" s="357">
        <v>6.125</v>
      </c>
      <c r="D52" s="358" t="s">
        <v>637</v>
      </c>
      <c r="E52" s="254">
        <v>47345</v>
      </c>
      <c r="F52" s="115">
        <v>11178580</v>
      </c>
      <c r="G52" s="115">
        <v>9354343</v>
      </c>
      <c r="H52" s="115">
        <f>SUM(F52-G52)</f>
        <v>1824237</v>
      </c>
      <c r="I52" s="68">
        <v>634400</v>
      </c>
    </row>
    <row r="53" spans="1:9" s="64" customFormat="1" ht="15" customHeight="1">
      <c r="A53" s="114" t="s">
        <v>305</v>
      </c>
      <c r="C53" s="357">
        <v>6.25</v>
      </c>
      <c r="D53" s="358" t="s">
        <v>638</v>
      </c>
      <c r="E53" s="254">
        <v>47618</v>
      </c>
      <c r="F53" s="115">
        <v>17043162</v>
      </c>
      <c r="G53" s="115">
        <v>9308281</v>
      </c>
      <c r="H53" s="115">
        <f>SUM(F53-G53)</f>
        <v>7734881</v>
      </c>
      <c r="I53" s="68">
        <v>2195528</v>
      </c>
    </row>
    <row r="54" spans="1:9" s="64" customFormat="1" ht="15" customHeight="1">
      <c r="A54" s="114" t="s">
        <v>306</v>
      </c>
      <c r="C54" s="357">
        <v>5.375</v>
      </c>
      <c r="D54" s="358" t="s">
        <v>639</v>
      </c>
      <c r="E54" s="254">
        <v>47894</v>
      </c>
      <c r="F54" s="115">
        <v>16427648</v>
      </c>
      <c r="G54" s="115">
        <v>16262448</v>
      </c>
      <c r="H54" s="115">
        <f>SUM(F54-G54)</f>
        <v>165200</v>
      </c>
      <c r="I54" s="68">
        <v>7400</v>
      </c>
    </row>
    <row r="55" spans="1:9" s="64" customFormat="1" ht="29.25" customHeight="1">
      <c r="A55" s="236" t="s">
        <v>894</v>
      </c>
      <c r="B55" s="251"/>
      <c r="C55" s="255"/>
      <c r="D55" s="253" t="s">
        <v>62</v>
      </c>
      <c r="E55" s="257"/>
      <c r="F55" s="115">
        <f>SUM(F14:F54)</f>
        <v>487326921</v>
      </c>
      <c r="G55" s="115">
        <f>SUM(G14:G54)</f>
        <v>335171957</v>
      </c>
      <c r="H55" s="115">
        <f>SUM(H14:H54)</f>
        <v>152154964</v>
      </c>
      <c r="I55" s="68">
        <f>SUM(I14:I54)</f>
        <v>31606260</v>
      </c>
    </row>
    <row r="56" spans="1:10" s="64" customFormat="1" ht="26.25" customHeight="1">
      <c r="A56" s="114" t="s">
        <v>988</v>
      </c>
      <c r="C56" s="100"/>
      <c r="D56" s="256"/>
      <c r="E56" s="258"/>
      <c r="F56" s="115"/>
      <c r="G56" s="115"/>
      <c r="H56" s="115"/>
      <c r="I56" s="68"/>
      <c r="J56" s="239"/>
    </row>
    <row r="57" spans="1:10" s="64" customFormat="1" ht="15" customHeight="1">
      <c r="A57" s="114" t="s">
        <v>86</v>
      </c>
      <c r="B57" s="63" t="s">
        <v>863</v>
      </c>
      <c r="C57" s="251" t="s">
        <v>864</v>
      </c>
      <c r="D57" s="256"/>
      <c r="E57" s="258"/>
      <c r="F57" s="115"/>
      <c r="G57" s="115"/>
      <c r="H57" s="115"/>
      <c r="I57" s="68"/>
      <c r="J57" s="239"/>
    </row>
    <row r="58" spans="1:9" s="64" customFormat="1" ht="15" customHeight="1">
      <c r="A58" s="114" t="s">
        <v>879</v>
      </c>
      <c r="B58" s="251" t="s">
        <v>871</v>
      </c>
      <c r="C58" s="357">
        <v>3.375</v>
      </c>
      <c r="D58" s="358" t="s">
        <v>640</v>
      </c>
      <c r="E58" s="254">
        <v>39097</v>
      </c>
      <c r="F58" s="115">
        <v>19350630.80829</v>
      </c>
      <c r="G58" s="115">
        <v>19350630.80829</v>
      </c>
      <c r="H58" s="115">
        <f aca="true" t="shared" si="1" ref="H58:H66">SUM(F58-G58)</f>
        <v>0</v>
      </c>
      <c r="I58" s="68">
        <v>0</v>
      </c>
    </row>
    <row r="59" spans="1:9" s="64" customFormat="1" ht="15" customHeight="1">
      <c r="A59" s="114" t="s">
        <v>307</v>
      </c>
      <c r="B59" s="251" t="s">
        <v>871</v>
      </c>
      <c r="C59" s="357">
        <v>3.625</v>
      </c>
      <c r="D59" s="358" t="s">
        <v>641</v>
      </c>
      <c r="E59" s="257">
        <v>39462</v>
      </c>
      <c r="F59" s="115">
        <v>20245813.434</v>
      </c>
      <c r="G59" s="115">
        <v>20125385.434</v>
      </c>
      <c r="H59" s="115">
        <v>120428</v>
      </c>
      <c r="I59" s="68">
        <v>0</v>
      </c>
    </row>
    <row r="60" spans="1:9" s="64" customFormat="1" ht="15" customHeight="1">
      <c r="A60" s="114" t="s">
        <v>308</v>
      </c>
      <c r="B60" s="251" t="s">
        <v>871</v>
      </c>
      <c r="C60" s="357">
        <v>3.875</v>
      </c>
      <c r="D60" s="358" t="s">
        <v>642</v>
      </c>
      <c r="E60" s="257">
        <v>39828</v>
      </c>
      <c r="F60" s="115">
        <v>18865331.60904</v>
      </c>
      <c r="G60" s="115">
        <v>18865331.60904</v>
      </c>
      <c r="H60" s="115">
        <f t="shared" si="1"/>
        <v>0</v>
      </c>
      <c r="I60" s="68">
        <v>0</v>
      </c>
    </row>
    <row r="61" spans="1:9" s="64" customFormat="1" ht="15" customHeight="1">
      <c r="A61" s="114" t="s">
        <v>309</v>
      </c>
      <c r="B61" s="251" t="s">
        <v>871</v>
      </c>
      <c r="C61" s="357">
        <v>4.25</v>
      </c>
      <c r="D61" s="358" t="s">
        <v>643</v>
      </c>
      <c r="E61" s="257">
        <v>40193</v>
      </c>
      <c r="F61" s="115">
        <v>13091448.40357</v>
      </c>
      <c r="G61" s="115">
        <v>13091448.40357</v>
      </c>
      <c r="H61" s="115">
        <f t="shared" si="1"/>
        <v>0</v>
      </c>
      <c r="I61" s="68">
        <v>0</v>
      </c>
    </row>
    <row r="62" spans="1:9" s="64" customFormat="1" ht="15" customHeight="1">
      <c r="A62" s="114" t="s">
        <v>233</v>
      </c>
      <c r="B62" s="251" t="s">
        <v>1042</v>
      </c>
      <c r="C62" s="357">
        <v>0.875</v>
      </c>
      <c r="D62" s="358" t="s">
        <v>644</v>
      </c>
      <c r="E62" s="257">
        <v>40283</v>
      </c>
      <c r="F62" s="115">
        <v>21567511.47086</v>
      </c>
      <c r="G62" s="115">
        <v>21567511.47086</v>
      </c>
      <c r="H62" s="115">
        <f>SUM(F62-G62)</f>
        <v>0</v>
      </c>
      <c r="I62" s="68">
        <v>0</v>
      </c>
    </row>
    <row r="63" spans="1:9" s="64" customFormat="1" ht="15" customHeight="1">
      <c r="A63" s="114" t="s">
        <v>232</v>
      </c>
      <c r="B63" s="251" t="s">
        <v>871</v>
      </c>
      <c r="C63" s="357">
        <v>3.5</v>
      </c>
      <c r="D63" s="358" t="s">
        <v>645</v>
      </c>
      <c r="E63" s="257">
        <v>40558</v>
      </c>
      <c r="F63" s="115">
        <v>12297508.0926</v>
      </c>
      <c r="G63" s="115">
        <v>12297508.0926</v>
      </c>
      <c r="H63" s="115">
        <f t="shared" si="1"/>
        <v>0</v>
      </c>
      <c r="I63" s="68">
        <v>0</v>
      </c>
    </row>
    <row r="64" spans="1:9" s="64" customFormat="1" ht="15" customHeight="1">
      <c r="A64" s="114" t="s">
        <v>310</v>
      </c>
      <c r="B64" s="251" t="s">
        <v>871</v>
      </c>
      <c r="C64" s="357">
        <v>3.375</v>
      </c>
      <c r="D64" s="358" t="s">
        <v>646</v>
      </c>
      <c r="E64" s="257">
        <v>40923</v>
      </c>
      <c r="F64" s="115">
        <v>6578892.8831</v>
      </c>
      <c r="G64" s="115">
        <v>6578892.8831</v>
      </c>
      <c r="H64" s="115">
        <f>SUM(F64-G64)</f>
        <v>0</v>
      </c>
      <c r="I64" s="68">
        <v>0</v>
      </c>
    </row>
    <row r="65" spans="1:9" s="64" customFormat="1" ht="15" customHeight="1">
      <c r="A65" s="114" t="s">
        <v>880</v>
      </c>
      <c r="B65" s="251" t="s">
        <v>1037</v>
      </c>
      <c r="C65" s="357">
        <v>3</v>
      </c>
      <c r="D65" s="358" t="s">
        <v>647</v>
      </c>
      <c r="E65" s="257">
        <v>41105</v>
      </c>
      <c r="F65" s="115">
        <v>24906763.72107</v>
      </c>
      <c r="G65" s="115">
        <v>24906763.72107</v>
      </c>
      <c r="H65" s="115">
        <f>SUM(F65-G65)</f>
        <v>0</v>
      </c>
      <c r="I65" s="68">
        <v>0</v>
      </c>
    </row>
    <row r="66" spans="1:9" s="64" customFormat="1" ht="15" customHeight="1">
      <c r="A66" s="114" t="s">
        <v>311</v>
      </c>
      <c r="B66" s="251" t="s">
        <v>1037</v>
      </c>
      <c r="C66" s="357">
        <v>1.875</v>
      </c>
      <c r="D66" s="358" t="s">
        <v>648</v>
      </c>
      <c r="E66" s="257">
        <v>41470</v>
      </c>
      <c r="F66" s="115">
        <v>21194812.3167</v>
      </c>
      <c r="G66" s="115">
        <v>21194812.3167</v>
      </c>
      <c r="H66" s="115">
        <f t="shared" si="1"/>
        <v>0</v>
      </c>
      <c r="I66" s="68">
        <v>0</v>
      </c>
    </row>
    <row r="67" spans="1:9" s="64" customFormat="1" ht="14.25" customHeight="1">
      <c r="A67" s="114" t="s">
        <v>312</v>
      </c>
      <c r="B67" s="251" t="s">
        <v>871</v>
      </c>
      <c r="C67" s="357">
        <v>2</v>
      </c>
      <c r="D67" s="358" t="s">
        <v>649</v>
      </c>
      <c r="E67" s="257">
        <v>41654</v>
      </c>
      <c r="F67" s="115">
        <v>22113384.69228</v>
      </c>
      <c r="G67" s="115">
        <v>22113384.69228</v>
      </c>
      <c r="H67" s="115">
        <f aca="true" t="shared" si="2" ref="H67:H73">SUM(F67-G67)</f>
        <v>0</v>
      </c>
      <c r="I67" s="68">
        <v>0</v>
      </c>
    </row>
    <row r="68" spans="1:9" s="64" customFormat="1" ht="15" customHeight="1">
      <c r="A68" s="114" t="s">
        <v>313</v>
      </c>
      <c r="B68" s="251" t="s">
        <v>1042</v>
      </c>
      <c r="C68" s="357">
        <v>2</v>
      </c>
      <c r="D68" s="358" t="s">
        <v>650</v>
      </c>
      <c r="E68" s="257">
        <v>41835</v>
      </c>
      <c r="F68" s="115">
        <v>19613166.1446</v>
      </c>
      <c r="G68" s="115">
        <v>19613166.1446</v>
      </c>
      <c r="H68" s="115">
        <f t="shared" si="2"/>
        <v>0</v>
      </c>
      <c r="I68" s="68">
        <v>0</v>
      </c>
    </row>
    <row r="69" spans="1:9" s="64" customFormat="1" ht="15" customHeight="1">
      <c r="A69" s="114" t="s">
        <v>314</v>
      </c>
      <c r="B69" s="251" t="s">
        <v>871</v>
      </c>
      <c r="C69" s="357">
        <v>1.625</v>
      </c>
      <c r="D69" s="358" t="s">
        <v>651</v>
      </c>
      <c r="E69" s="257">
        <v>42019</v>
      </c>
      <c r="F69" s="115">
        <v>19360575.86442</v>
      </c>
      <c r="G69" s="115">
        <v>19360575.86442</v>
      </c>
      <c r="H69" s="115">
        <f t="shared" si="2"/>
        <v>0</v>
      </c>
      <c r="I69" s="68">
        <v>0</v>
      </c>
    </row>
    <row r="70" spans="1:9" s="64" customFormat="1" ht="15" customHeight="1">
      <c r="A70" s="114" t="s">
        <v>549</v>
      </c>
      <c r="B70" s="251"/>
      <c r="C70" s="357">
        <v>2.375</v>
      </c>
      <c r="D70" s="358" t="s">
        <v>652</v>
      </c>
      <c r="E70" s="254">
        <v>45672</v>
      </c>
      <c r="F70" s="115">
        <v>22707660.22035</v>
      </c>
      <c r="G70" s="115">
        <v>22707660.22035</v>
      </c>
      <c r="H70" s="115">
        <f t="shared" si="2"/>
        <v>0</v>
      </c>
      <c r="I70" s="68">
        <v>0</v>
      </c>
    </row>
    <row r="71" spans="1:9" s="64" customFormat="1" ht="15" customHeight="1">
      <c r="A71" s="114" t="s">
        <v>315</v>
      </c>
      <c r="B71" s="251"/>
      <c r="C71" s="357">
        <v>3.625</v>
      </c>
      <c r="D71" s="358" t="s">
        <v>653</v>
      </c>
      <c r="E71" s="254">
        <v>46858</v>
      </c>
      <c r="F71" s="115">
        <v>20188845.6862</v>
      </c>
      <c r="G71" s="115">
        <v>20182831.1862</v>
      </c>
      <c r="H71" s="115">
        <v>6014.5</v>
      </c>
      <c r="I71" s="68">
        <v>0</v>
      </c>
    </row>
    <row r="72" spans="1:9" s="64" customFormat="1" ht="15" customHeight="1">
      <c r="A72" s="114" t="s">
        <v>316</v>
      </c>
      <c r="B72" s="251"/>
      <c r="C72" s="357">
        <v>3.875</v>
      </c>
      <c r="D72" s="358" t="s">
        <v>654</v>
      </c>
      <c r="E72" s="254">
        <v>47223</v>
      </c>
      <c r="F72" s="115">
        <v>23074195.94592</v>
      </c>
      <c r="G72" s="115">
        <v>22926260.94592</v>
      </c>
      <c r="H72" s="115">
        <v>147935</v>
      </c>
      <c r="I72" s="68">
        <v>0</v>
      </c>
    </row>
    <row r="73" spans="1:9" s="64" customFormat="1" ht="15" customHeight="1">
      <c r="A73" s="114" t="s">
        <v>317</v>
      </c>
      <c r="B73" s="251"/>
      <c r="C73" s="357">
        <v>3.375</v>
      </c>
      <c r="D73" s="358" t="s">
        <v>655</v>
      </c>
      <c r="E73" s="254">
        <v>48319</v>
      </c>
      <c r="F73" s="115">
        <v>5493860.66115</v>
      </c>
      <c r="G73" s="115">
        <v>5493860.66115</v>
      </c>
      <c r="H73" s="115">
        <f t="shared" si="2"/>
        <v>0</v>
      </c>
      <c r="I73" s="68">
        <v>0</v>
      </c>
    </row>
    <row r="74" spans="1:9" s="64" customFormat="1" ht="30" customHeight="1">
      <c r="A74" s="236" t="s">
        <v>377</v>
      </c>
      <c r="B74" s="251"/>
      <c r="C74" s="255"/>
      <c r="D74" s="253" t="s">
        <v>62</v>
      </c>
      <c r="E74" s="257"/>
      <c r="F74" s="115">
        <f>SUM(F58:F73)</f>
        <v>290650401.95415</v>
      </c>
      <c r="G74" s="115">
        <f>SUM(G58:G73)</f>
        <v>290376024.45415</v>
      </c>
      <c r="H74" s="115">
        <f>SUM(H58:H73)</f>
        <v>274377.5</v>
      </c>
      <c r="I74" s="68">
        <v>0</v>
      </c>
    </row>
    <row r="75" spans="1:9" s="64" customFormat="1" ht="15" customHeight="1">
      <c r="A75" s="236"/>
      <c r="B75" s="251"/>
      <c r="C75" s="310"/>
      <c r="D75" s="314"/>
      <c r="E75" s="257"/>
      <c r="F75" s="115"/>
      <c r="G75" s="115"/>
      <c r="H75" s="115"/>
      <c r="I75" s="68"/>
    </row>
    <row r="76" spans="1:9" s="64" customFormat="1" ht="15" customHeight="1">
      <c r="A76" s="236"/>
      <c r="B76" s="251"/>
      <c r="C76" s="310"/>
      <c r="D76" s="307"/>
      <c r="E76" s="315"/>
      <c r="F76" s="147"/>
      <c r="G76" s="147"/>
      <c r="H76" s="147"/>
      <c r="I76" s="147"/>
    </row>
    <row r="77" spans="1:9" s="64" customFormat="1" ht="15" customHeight="1">
      <c r="A77" s="236"/>
      <c r="B77" s="251"/>
      <c r="C77" s="310"/>
      <c r="D77" s="307"/>
      <c r="E77" s="315"/>
      <c r="F77" s="147"/>
      <c r="G77" s="147"/>
      <c r="H77" s="147"/>
      <c r="I77" s="147"/>
    </row>
    <row r="78" spans="1:9" s="64" customFormat="1" ht="15" customHeight="1">
      <c r="A78" s="236"/>
      <c r="B78" s="251"/>
      <c r="C78" s="310"/>
      <c r="D78" s="307"/>
      <c r="E78" s="315"/>
      <c r="F78" s="147"/>
      <c r="G78" s="147"/>
      <c r="H78" s="147"/>
      <c r="I78" s="147"/>
    </row>
    <row r="79" spans="1:9" s="64" customFormat="1" ht="15" customHeight="1">
      <c r="A79" s="236"/>
      <c r="B79" s="251"/>
      <c r="C79" s="310"/>
      <c r="D79" s="307"/>
      <c r="E79" s="315"/>
      <c r="F79" s="147"/>
      <c r="G79" s="147"/>
      <c r="H79" s="147"/>
      <c r="I79" s="147"/>
    </row>
    <row r="80" spans="1:9" s="64" customFormat="1" ht="15" customHeight="1">
      <c r="A80" s="236"/>
      <c r="B80" s="251"/>
      <c r="C80" s="310"/>
      <c r="D80" s="307"/>
      <c r="E80" s="315"/>
      <c r="F80" s="147"/>
      <c r="G80" s="147"/>
      <c r="H80" s="147"/>
      <c r="I80" s="147"/>
    </row>
    <row r="81" spans="1:9" s="64" customFormat="1" ht="15" customHeight="1">
      <c r="A81" s="236"/>
      <c r="B81" s="251"/>
      <c r="C81" s="310"/>
      <c r="D81" s="307"/>
      <c r="E81" s="315"/>
      <c r="F81" s="147"/>
      <c r="G81" s="147"/>
      <c r="H81" s="147"/>
      <c r="I81" s="147"/>
    </row>
    <row r="82" spans="1:9" s="64" customFormat="1" ht="15" customHeight="1">
      <c r="A82" s="236"/>
      <c r="B82" s="251"/>
      <c r="C82" s="310"/>
      <c r="D82" s="307"/>
      <c r="E82" s="315"/>
      <c r="F82" s="147"/>
      <c r="G82" s="147"/>
      <c r="H82" s="147"/>
      <c r="I82" s="147"/>
    </row>
    <row r="83" spans="1:9" s="64" customFormat="1" ht="15" customHeight="1">
      <c r="A83" s="236"/>
      <c r="B83" s="251"/>
      <c r="C83" s="310"/>
      <c r="D83" s="307"/>
      <c r="E83" s="315"/>
      <c r="F83" s="147"/>
      <c r="G83" s="147"/>
      <c r="H83" s="147"/>
      <c r="I83" s="147"/>
    </row>
    <row r="84" spans="1:9" s="64" customFormat="1" ht="15" customHeight="1">
      <c r="A84" s="236"/>
      <c r="B84" s="251"/>
      <c r="C84" s="310"/>
      <c r="D84" s="307"/>
      <c r="E84" s="315"/>
      <c r="F84" s="147"/>
      <c r="G84" s="147"/>
      <c r="H84" s="147"/>
      <c r="I84" s="147"/>
    </row>
    <row r="85" spans="6:16" s="100" customFormat="1" ht="15.75" customHeight="1">
      <c r="F85" s="348"/>
      <c r="G85" s="349"/>
      <c r="H85" s="349"/>
      <c r="I85" s="350"/>
      <c r="J85" s="351"/>
      <c r="K85" s="93"/>
      <c r="L85" s="226"/>
      <c r="M85" s="93"/>
      <c r="N85" s="226"/>
      <c r="O85" s="93"/>
      <c r="P85" s="93"/>
    </row>
    <row r="86" spans="1:16" s="64" customFormat="1" ht="15.75" customHeight="1" thickBot="1">
      <c r="A86" s="87"/>
      <c r="B86" s="87"/>
      <c r="C86" s="87"/>
      <c r="D86" s="87"/>
      <c r="E86" s="87"/>
      <c r="F86" s="319"/>
      <c r="G86" s="320"/>
      <c r="H86" s="320"/>
      <c r="I86" s="321"/>
      <c r="J86" s="322"/>
      <c r="K86" s="143"/>
      <c r="L86" s="323"/>
      <c r="M86" s="143"/>
      <c r="N86" s="323"/>
      <c r="O86" s="143"/>
      <c r="P86" s="143"/>
    </row>
    <row r="87" spans="1:10" s="64" customFormat="1" ht="18.75" customHeight="1" thickTop="1">
      <c r="A87" s="394"/>
      <c r="B87" s="395" t="s">
        <v>732</v>
      </c>
      <c r="C87" s="395"/>
      <c r="D87" s="395"/>
      <c r="E87" s="396"/>
      <c r="F87" s="396"/>
      <c r="G87" s="396"/>
      <c r="H87" s="396"/>
      <c r="I87" s="396"/>
      <c r="J87" s="394">
        <v>11</v>
      </c>
    </row>
    <row r="88" spans="4:10" s="64" customFormat="1" ht="30" customHeight="1">
      <c r="D88" s="243" t="s">
        <v>399</v>
      </c>
      <c r="E88" s="65"/>
      <c r="F88" s="244" t="s">
        <v>185</v>
      </c>
      <c r="G88" s="63"/>
      <c r="H88" s="63"/>
      <c r="I88" s="229"/>
      <c r="J88" s="239"/>
    </row>
    <row r="89" spans="1:10" s="64" customFormat="1" ht="15" customHeight="1">
      <c r="A89" s="63" t="s">
        <v>102</v>
      </c>
      <c r="B89" s="63"/>
      <c r="C89" s="63"/>
      <c r="D89" s="243" t="s">
        <v>400</v>
      </c>
      <c r="E89" s="243" t="s">
        <v>401</v>
      </c>
      <c r="F89" s="65"/>
      <c r="I89" s="245" t="s">
        <v>785</v>
      </c>
      <c r="J89" s="240"/>
    </row>
    <row r="90" spans="4:10" s="64" customFormat="1" ht="15" customHeight="1">
      <c r="D90" s="243" t="s">
        <v>167</v>
      </c>
      <c r="E90" s="65"/>
      <c r="F90" s="246" t="s">
        <v>168</v>
      </c>
      <c r="G90" s="246" t="s">
        <v>169</v>
      </c>
      <c r="H90" s="246" t="s">
        <v>169</v>
      </c>
      <c r="I90" s="247" t="s">
        <v>761</v>
      </c>
      <c r="J90" s="53">
        <v>18</v>
      </c>
    </row>
    <row r="91" spans="1:10" s="64" customFormat="1" ht="15" customHeight="1">
      <c r="A91" s="66"/>
      <c r="B91" s="66"/>
      <c r="C91" s="66"/>
      <c r="D91" s="67"/>
      <c r="E91" s="67"/>
      <c r="F91" s="248" t="s">
        <v>65</v>
      </c>
      <c r="G91" s="249" t="s">
        <v>175</v>
      </c>
      <c r="H91" s="249" t="s">
        <v>176</v>
      </c>
      <c r="I91" s="250"/>
      <c r="J91" s="242"/>
    </row>
    <row r="92" spans="1:10" s="64" customFormat="1" ht="28.5" customHeight="1">
      <c r="A92" s="114" t="s">
        <v>862</v>
      </c>
      <c r="D92" s="65"/>
      <c r="E92" s="65"/>
      <c r="F92" s="65"/>
      <c r="G92" s="65"/>
      <c r="H92" s="65"/>
      <c r="I92" s="68"/>
      <c r="J92" s="239"/>
    </row>
    <row r="93" spans="1:10" s="64" customFormat="1" ht="15" customHeight="1">
      <c r="A93" s="114" t="s">
        <v>86</v>
      </c>
      <c r="B93" s="63" t="s">
        <v>863</v>
      </c>
      <c r="C93" s="251" t="s">
        <v>864</v>
      </c>
      <c r="D93" s="65"/>
      <c r="E93" s="65"/>
      <c r="F93" s="65"/>
      <c r="G93" s="65"/>
      <c r="H93" s="65"/>
      <c r="I93" s="68"/>
      <c r="J93" s="239"/>
    </row>
    <row r="94" spans="1:9" s="64" customFormat="1" ht="14.25" customHeight="1">
      <c r="A94" s="114" t="s">
        <v>793</v>
      </c>
      <c r="B94" s="251" t="s">
        <v>1032</v>
      </c>
      <c r="C94" s="357">
        <v>1.5</v>
      </c>
      <c r="D94" s="358" t="s">
        <v>675</v>
      </c>
      <c r="E94" s="257">
        <v>38564</v>
      </c>
      <c r="F94" s="115">
        <v>29997026</v>
      </c>
      <c r="G94" s="115">
        <v>29997026</v>
      </c>
      <c r="H94" s="115">
        <f aca="true" t="shared" si="3" ref="H94:H155">SUM(F94-G94)</f>
        <v>0</v>
      </c>
      <c r="I94" s="68">
        <v>0</v>
      </c>
    </row>
    <row r="95" spans="1:9" s="64" customFormat="1" ht="14.25" customHeight="1">
      <c r="A95" s="114" t="s">
        <v>965</v>
      </c>
      <c r="B95" s="251" t="s">
        <v>1037</v>
      </c>
      <c r="C95" s="357">
        <v>6.5</v>
      </c>
      <c r="D95" s="358" t="s">
        <v>676</v>
      </c>
      <c r="E95" s="254">
        <v>38579</v>
      </c>
      <c r="F95" s="115">
        <v>15002580</v>
      </c>
      <c r="G95" s="115">
        <v>13932435</v>
      </c>
      <c r="H95" s="115">
        <f t="shared" si="3"/>
        <v>1070145</v>
      </c>
      <c r="I95" s="68">
        <v>61000</v>
      </c>
    </row>
    <row r="96" spans="1:9" s="64" customFormat="1" ht="14.25" customHeight="1">
      <c r="A96" s="114" t="s">
        <v>960</v>
      </c>
      <c r="B96" s="251" t="s">
        <v>1034</v>
      </c>
      <c r="C96" s="357">
        <v>2</v>
      </c>
      <c r="D96" s="358" t="s">
        <v>677</v>
      </c>
      <c r="E96" s="257">
        <v>38595</v>
      </c>
      <c r="F96" s="115">
        <v>30592178</v>
      </c>
      <c r="G96" s="115">
        <v>30592178</v>
      </c>
      <c r="H96" s="115">
        <f t="shared" si="3"/>
        <v>0</v>
      </c>
      <c r="I96" s="68">
        <v>0</v>
      </c>
    </row>
    <row r="97" spans="1:9" s="64" customFormat="1" ht="14.25" customHeight="1">
      <c r="A97" s="114" t="s">
        <v>794</v>
      </c>
      <c r="B97" s="251" t="s">
        <v>1036</v>
      </c>
      <c r="C97" s="357">
        <v>1.625</v>
      </c>
      <c r="D97" s="358" t="s">
        <v>678</v>
      </c>
      <c r="E97" s="257">
        <v>38625</v>
      </c>
      <c r="F97" s="115">
        <v>31538969</v>
      </c>
      <c r="G97" s="115">
        <v>31538969</v>
      </c>
      <c r="H97" s="115">
        <f t="shared" si="3"/>
        <v>0</v>
      </c>
      <c r="I97" s="68">
        <v>0</v>
      </c>
    </row>
    <row r="98" spans="1:9" s="64" customFormat="1" ht="14.25" customHeight="1">
      <c r="A98" s="114" t="s">
        <v>795</v>
      </c>
      <c r="B98" s="251" t="s">
        <v>1038</v>
      </c>
      <c r="C98" s="357">
        <v>1.625</v>
      </c>
      <c r="D98" s="358" t="s">
        <v>679</v>
      </c>
      <c r="E98" s="257">
        <v>38656</v>
      </c>
      <c r="F98" s="115">
        <v>32368420</v>
      </c>
      <c r="G98" s="115">
        <v>32347620</v>
      </c>
      <c r="H98" s="115">
        <f t="shared" si="3"/>
        <v>20800</v>
      </c>
      <c r="I98" s="68">
        <v>0</v>
      </c>
    </row>
    <row r="99" spans="1:9" s="64" customFormat="1" ht="14.25" customHeight="1">
      <c r="A99" s="114" t="s">
        <v>756</v>
      </c>
      <c r="B99" s="251" t="s">
        <v>1042</v>
      </c>
      <c r="C99" s="357">
        <v>5.875</v>
      </c>
      <c r="D99" s="358" t="s">
        <v>680</v>
      </c>
      <c r="E99" s="254">
        <v>38671</v>
      </c>
      <c r="F99" s="115">
        <v>15209920</v>
      </c>
      <c r="G99" s="115">
        <v>12501998</v>
      </c>
      <c r="H99" s="115">
        <f t="shared" si="3"/>
        <v>2707922</v>
      </c>
      <c r="I99" s="68">
        <v>5000</v>
      </c>
    </row>
    <row r="100" spans="1:9" s="64" customFormat="1" ht="14.25" customHeight="1">
      <c r="A100" s="298" t="s">
        <v>1127</v>
      </c>
      <c r="B100" s="251" t="s">
        <v>1026</v>
      </c>
      <c r="C100" s="357">
        <v>5.75</v>
      </c>
      <c r="D100" s="358" t="s">
        <v>681</v>
      </c>
      <c r="E100" s="254">
        <v>38671</v>
      </c>
      <c r="F100" s="115">
        <v>28062797</v>
      </c>
      <c r="G100" s="115">
        <v>27058857</v>
      </c>
      <c r="H100" s="115">
        <f t="shared" si="3"/>
        <v>1003940</v>
      </c>
      <c r="I100" s="68">
        <v>0</v>
      </c>
    </row>
    <row r="101" spans="1:9" s="64" customFormat="1" ht="14.25" customHeight="1">
      <c r="A101" s="298" t="s">
        <v>1067</v>
      </c>
      <c r="B101" s="251" t="s">
        <v>1039</v>
      </c>
      <c r="C101" s="357">
        <v>1.875</v>
      </c>
      <c r="D101" s="358" t="s">
        <v>682</v>
      </c>
      <c r="E101" s="254">
        <v>38686</v>
      </c>
      <c r="F101" s="115">
        <v>32203806</v>
      </c>
      <c r="G101" s="115">
        <v>32203806</v>
      </c>
      <c r="H101" s="115">
        <f t="shared" si="3"/>
        <v>0</v>
      </c>
      <c r="I101" s="68">
        <v>0</v>
      </c>
    </row>
    <row r="102" spans="1:9" s="64" customFormat="1" ht="14.25" customHeight="1">
      <c r="A102" s="114" t="s">
        <v>796</v>
      </c>
      <c r="B102" s="251" t="s">
        <v>1041</v>
      </c>
      <c r="C102" s="357">
        <v>1.875</v>
      </c>
      <c r="D102" s="358" t="s">
        <v>683</v>
      </c>
      <c r="E102" s="254">
        <v>38717</v>
      </c>
      <c r="F102" s="115">
        <v>33996270</v>
      </c>
      <c r="G102" s="115">
        <v>33996270</v>
      </c>
      <c r="H102" s="115">
        <f t="shared" si="3"/>
        <v>0</v>
      </c>
      <c r="I102" s="68">
        <v>0</v>
      </c>
    </row>
    <row r="103" spans="1:9" s="64" customFormat="1" ht="14.25" customHeight="1">
      <c r="A103" s="114" t="s">
        <v>797</v>
      </c>
      <c r="B103" s="251" t="s">
        <v>840</v>
      </c>
      <c r="C103" s="357">
        <v>1.875</v>
      </c>
      <c r="D103" s="358" t="s">
        <v>684</v>
      </c>
      <c r="E103" s="254">
        <v>38748</v>
      </c>
      <c r="F103" s="115">
        <v>32533188</v>
      </c>
      <c r="G103" s="115">
        <v>32533188</v>
      </c>
      <c r="H103" s="115">
        <f t="shared" si="3"/>
        <v>0</v>
      </c>
      <c r="I103" s="68">
        <v>0</v>
      </c>
    </row>
    <row r="104" spans="1:9" s="64" customFormat="1" ht="14.25" customHeight="1">
      <c r="A104" s="298" t="s">
        <v>1066</v>
      </c>
      <c r="B104" s="251" t="s">
        <v>871</v>
      </c>
      <c r="C104" s="357">
        <v>5.625</v>
      </c>
      <c r="D104" s="358" t="s">
        <v>685</v>
      </c>
      <c r="E104" s="254">
        <v>38763</v>
      </c>
      <c r="F104" s="115">
        <v>15513587</v>
      </c>
      <c r="G104" s="115">
        <v>15297077</v>
      </c>
      <c r="H104" s="115">
        <f t="shared" si="3"/>
        <v>216510</v>
      </c>
      <c r="I104" s="68">
        <v>0</v>
      </c>
    </row>
    <row r="105" spans="1:9" s="64" customFormat="1" ht="14.25" customHeight="1">
      <c r="A105" s="114" t="s">
        <v>574</v>
      </c>
      <c r="B105" s="251" t="s">
        <v>841</v>
      </c>
      <c r="C105" s="357">
        <v>1.625</v>
      </c>
      <c r="D105" s="358" t="s">
        <v>686</v>
      </c>
      <c r="E105" s="254">
        <v>38776</v>
      </c>
      <c r="F105" s="115">
        <v>34001950</v>
      </c>
      <c r="G105" s="115">
        <v>34000350</v>
      </c>
      <c r="H105" s="115">
        <f t="shared" si="3"/>
        <v>1600</v>
      </c>
      <c r="I105" s="68">
        <v>0</v>
      </c>
    </row>
    <row r="106" spans="1:9" s="64" customFormat="1" ht="14.25" customHeight="1">
      <c r="A106" s="114" t="s">
        <v>798</v>
      </c>
      <c r="B106" s="251" t="s">
        <v>1028</v>
      </c>
      <c r="C106" s="357">
        <v>1.5</v>
      </c>
      <c r="D106" s="358" t="s">
        <v>687</v>
      </c>
      <c r="E106" s="254">
        <v>38807</v>
      </c>
      <c r="F106" s="115">
        <v>34338606</v>
      </c>
      <c r="G106" s="115">
        <v>34338606</v>
      </c>
      <c r="H106" s="115">
        <f t="shared" si="3"/>
        <v>0</v>
      </c>
      <c r="I106" s="68">
        <v>0</v>
      </c>
    </row>
    <row r="107" spans="1:9" s="64" customFormat="1" ht="14.25" customHeight="1">
      <c r="A107" s="114" t="s">
        <v>799</v>
      </c>
      <c r="B107" s="251" t="s">
        <v>1032</v>
      </c>
      <c r="C107" s="357">
        <v>2.25</v>
      </c>
      <c r="D107" s="358" t="s">
        <v>688</v>
      </c>
      <c r="E107" s="254">
        <v>38837</v>
      </c>
      <c r="F107" s="115">
        <v>34334801</v>
      </c>
      <c r="G107" s="115">
        <v>34334801</v>
      </c>
      <c r="H107" s="115">
        <f>SUM(F107-G107)</f>
        <v>0</v>
      </c>
      <c r="I107" s="68">
        <v>0</v>
      </c>
    </row>
    <row r="108" spans="1:9" s="64" customFormat="1" ht="14.25" customHeight="1">
      <c r="A108" s="114" t="s">
        <v>554</v>
      </c>
      <c r="B108" s="251" t="s">
        <v>1030</v>
      </c>
      <c r="C108" s="357">
        <v>6.875</v>
      </c>
      <c r="D108" s="358" t="s">
        <v>689</v>
      </c>
      <c r="E108" s="257">
        <v>38852</v>
      </c>
      <c r="F108" s="115">
        <v>16015475</v>
      </c>
      <c r="G108" s="115">
        <v>14530766</v>
      </c>
      <c r="H108" s="115">
        <f t="shared" si="3"/>
        <v>1484709</v>
      </c>
      <c r="I108" s="68">
        <v>88020</v>
      </c>
    </row>
    <row r="109" spans="1:9" s="64" customFormat="1" ht="14.25" customHeight="1">
      <c r="A109" s="298" t="s">
        <v>1126</v>
      </c>
      <c r="B109" s="251" t="s">
        <v>867</v>
      </c>
      <c r="C109" s="357">
        <v>4.625</v>
      </c>
      <c r="D109" s="358" t="s">
        <v>690</v>
      </c>
      <c r="E109" s="257">
        <v>38852</v>
      </c>
      <c r="F109" s="115">
        <v>27797852</v>
      </c>
      <c r="G109" s="115">
        <v>27779018</v>
      </c>
      <c r="H109" s="115">
        <f t="shared" si="3"/>
        <v>18834</v>
      </c>
      <c r="I109" s="68">
        <v>7000</v>
      </c>
    </row>
    <row r="110" spans="1:9" s="64" customFormat="1" ht="14.25" customHeight="1">
      <c r="A110" s="114" t="s">
        <v>32</v>
      </c>
      <c r="B110" s="251" t="s">
        <v>1035</v>
      </c>
      <c r="C110" s="357">
        <v>2</v>
      </c>
      <c r="D110" s="358" t="s">
        <v>691</v>
      </c>
      <c r="E110" s="257">
        <v>38852</v>
      </c>
      <c r="F110" s="115">
        <v>22391759</v>
      </c>
      <c r="G110" s="115">
        <v>22383759</v>
      </c>
      <c r="H110" s="115">
        <f t="shared" si="3"/>
        <v>8000</v>
      </c>
      <c r="I110" s="68">
        <v>7940</v>
      </c>
    </row>
    <row r="111" spans="1:9" s="64" customFormat="1" ht="14.25" customHeight="1">
      <c r="A111" s="114" t="s">
        <v>800</v>
      </c>
      <c r="B111" s="251" t="s">
        <v>1034</v>
      </c>
      <c r="C111" s="357">
        <v>2.5</v>
      </c>
      <c r="D111" s="358" t="s">
        <v>692</v>
      </c>
      <c r="E111" s="257">
        <v>38868</v>
      </c>
      <c r="F111" s="115">
        <v>31307947</v>
      </c>
      <c r="G111" s="115">
        <v>31094747</v>
      </c>
      <c r="H111" s="115">
        <f>SUM(F111-G111)</f>
        <v>213200</v>
      </c>
      <c r="I111" s="68">
        <v>0</v>
      </c>
    </row>
    <row r="112" spans="1:9" s="64" customFormat="1" ht="14.25" customHeight="1">
      <c r="A112" s="114" t="s">
        <v>757</v>
      </c>
      <c r="B112" s="251" t="s">
        <v>1036</v>
      </c>
      <c r="C112" s="357">
        <v>2.75</v>
      </c>
      <c r="D112" s="358" t="s">
        <v>693</v>
      </c>
      <c r="E112" s="257">
        <v>38898</v>
      </c>
      <c r="F112" s="115">
        <v>32587733</v>
      </c>
      <c r="G112" s="115">
        <v>32587733</v>
      </c>
      <c r="H112" s="115">
        <f>SUM(F112-G112)</f>
        <v>0</v>
      </c>
      <c r="I112" s="68">
        <v>0</v>
      </c>
    </row>
    <row r="113" spans="1:9" s="64" customFormat="1" ht="14.25" customHeight="1">
      <c r="A113" s="114" t="s">
        <v>33</v>
      </c>
      <c r="B113" s="251" t="s">
        <v>1037</v>
      </c>
      <c r="C113" s="357">
        <v>7</v>
      </c>
      <c r="D113" s="358" t="s">
        <v>694</v>
      </c>
      <c r="E113" s="257">
        <v>38913</v>
      </c>
      <c r="F113" s="115">
        <v>22740446</v>
      </c>
      <c r="G113" s="115">
        <v>22514046</v>
      </c>
      <c r="H113" s="115">
        <f t="shared" si="3"/>
        <v>226400</v>
      </c>
      <c r="I113" s="68">
        <v>0</v>
      </c>
    </row>
    <row r="114" spans="1:9" s="64" customFormat="1" ht="14.25" customHeight="1">
      <c r="A114" s="114" t="s">
        <v>489</v>
      </c>
      <c r="B114" s="251" t="s">
        <v>1038</v>
      </c>
      <c r="C114" s="357">
        <v>2.75</v>
      </c>
      <c r="D114" s="358" t="s">
        <v>695</v>
      </c>
      <c r="E114" s="257">
        <v>38929</v>
      </c>
      <c r="F114" s="115">
        <v>31010881</v>
      </c>
      <c r="G114" s="115">
        <v>31010881</v>
      </c>
      <c r="H114" s="115">
        <f>SUM(F114-G114)</f>
        <v>0</v>
      </c>
      <c r="I114" s="68">
        <v>0</v>
      </c>
    </row>
    <row r="115" spans="1:9" s="64" customFormat="1" ht="14.25" customHeight="1">
      <c r="A115" s="114" t="s">
        <v>801</v>
      </c>
      <c r="B115" s="251" t="s">
        <v>1040</v>
      </c>
      <c r="C115" s="357">
        <v>2.375</v>
      </c>
      <c r="D115" s="358" t="s">
        <v>696</v>
      </c>
      <c r="E115" s="257">
        <v>38944</v>
      </c>
      <c r="F115" s="115">
        <v>27909346</v>
      </c>
      <c r="G115" s="115">
        <v>27705416</v>
      </c>
      <c r="H115" s="115">
        <f t="shared" si="3"/>
        <v>203930</v>
      </c>
      <c r="I115" s="68">
        <v>1400</v>
      </c>
    </row>
    <row r="116" spans="1:9" s="64" customFormat="1" ht="14.25" customHeight="1">
      <c r="A116" s="114" t="s">
        <v>802</v>
      </c>
      <c r="B116" s="251" t="s">
        <v>1039</v>
      </c>
      <c r="C116" s="357">
        <v>2.375</v>
      </c>
      <c r="D116" s="358" t="s">
        <v>697</v>
      </c>
      <c r="E116" s="257">
        <v>38960</v>
      </c>
      <c r="F116" s="115">
        <v>31814087</v>
      </c>
      <c r="G116" s="115">
        <v>31814087</v>
      </c>
      <c r="H116" s="115">
        <f>SUM(F116-G116)</f>
        <v>0</v>
      </c>
      <c r="I116" s="68">
        <v>0</v>
      </c>
    </row>
    <row r="117" spans="1:9" s="64" customFormat="1" ht="14.25" customHeight="1">
      <c r="A117" s="114" t="s">
        <v>803</v>
      </c>
      <c r="B117" s="251" t="s">
        <v>1041</v>
      </c>
      <c r="C117" s="357">
        <v>2.5</v>
      </c>
      <c r="D117" s="358" t="s">
        <v>698</v>
      </c>
      <c r="E117" s="257">
        <v>38990</v>
      </c>
      <c r="F117" s="115">
        <v>31656294</v>
      </c>
      <c r="G117" s="115">
        <v>31656294</v>
      </c>
      <c r="H117" s="115">
        <f>SUM(F117-G117)</f>
        <v>0</v>
      </c>
      <c r="I117" s="68">
        <v>0</v>
      </c>
    </row>
    <row r="118" spans="1:9" s="64" customFormat="1" ht="14.25" customHeight="1">
      <c r="A118" s="114" t="s">
        <v>784</v>
      </c>
      <c r="B118" s="251" t="s">
        <v>1042</v>
      </c>
      <c r="C118" s="357">
        <v>6.5</v>
      </c>
      <c r="D118" s="358" t="s">
        <v>699</v>
      </c>
      <c r="E118" s="257">
        <v>39005</v>
      </c>
      <c r="F118" s="115">
        <v>22459675</v>
      </c>
      <c r="G118" s="115">
        <v>22395675</v>
      </c>
      <c r="H118" s="115">
        <f t="shared" si="3"/>
        <v>64000</v>
      </c>
      <c r="I118" s="68">
        <v>0</v>
      </c>
    </row>
    <row r="119" spans="1:9" s="64" customFormat="1" ht="14.25" customHeight="1">
      <c r="A119" s="114" t="s">
        <v>538</v>
      </c>
      <c r="B119" s="251" t="s">
        <v>539</v>
      </c>
      <c r="C119" s="357">
        <v>2.5</v>
      </c>
      <c r="D119" s="358" t="s">
        <v>700</v>
      </c>
      <c r="E119" s="257">
        <v>39021</v>
      </c>
      <c r="F119" s="115">
        <v>29568526</v>
      </c>
      <c r="G119" s="115">
        <v>29568526</v>
      </c>
      <c r="H119" s="115">
        <f>SUM(F119-G119)</f>
        <v>0</v>
      </c>
      <c r="I119" s="68">
        <v>0</v>
      </c>
    </row>
    <row r="120" spans="1:9" s="64" customFormat="1" ht="14.25" customHeight="1">
      <c r="A120" s="114" t="s">
        <v>540</v>
      </c>
      <c r="B120" s="251" t="s">
        <v>1026</v>
      </c>
      <c r="C120" s="357">
        <v>3.5</v>
      </c>
      <c r="D120" s="358" t="s">
        <v>701</v>
      </c>
      <c r="E120" s="257">
        <v>39036</v>
      </c>
      <c r="F120" s="115">
        <v>35380129</v>
      </c>
      <c r="G120" s="115">
        <v>34626346</v>
      </c>
      <c r="H120" s="115">
        <f t="shared" si="3"/>
        <v>753783</v>
      </c>
      <c r="I120" s="68">
        <v>57400</v>
      </c>
    </row>
    <row r="121" spans="1:9" s="64" customFormat="1" ht="14.25" customHeight="1">
      <c r="A121" s="114" t="s">
        <v>999</v>
      </c>
      <c r="B121" s="251" t="s">
        <v>869</v>
      </c>
      <c r="C121" s="357">
        <v>2.625</v>
      </c>
      <c r="D121" s="358" t="s">
        <v>702</v>
      </c>
      <c r="E121" s="257">
        <v>39036</v>
      </c>
      <c r="F121" s="115">
        <v>26535905</v>
      </c>
      <c r="G121" s="115">
        <v>26479985</v>
      </c>
      <c r="H121" s="115">
        <f t="shared" si="3"/>
        <v>55920</v>
      </c>
      <c r="I121" s="68">
        <v>0</v>
      </c>
    </row>
    <row r="122" spans="1:9" s="64" customFormat="1" ht="14.25" customHeight="1">
      <c r="A122" s="114" t="s">
        <v>804</v>
      </c>
      <c r="B122" s="251" t="s">
        <v>865</v>
      </c>
      <c r="C122" s="357">
        <v>2.875</v>
      </c>
      <c r="D122" s="358" t="s">
        <v>703</v>
      </c>
      <c r="E122" s="257">
        <v>39051</v>
      </c>
      <c r="F122" s="115">
        <v>30049344</v>
      </c>
      <c r="G122" s="115">
        <v>30049344</v>
      </c>
      <c r="H122" s="115">
        <f>SUM(F122-G122)</f>
        <v>0</v>
      </c>
      <c r="I122" s="68">
        <v>0</v>
      </c>
    </row>
    <row r="123" spans="1:9" s="64" customFormat="1" ht="14.25" customHeight="1">
      <c r="A123" s="114" t="s">
        <v>805</v>
      </c>
      <c r="B123" s="251" t="s">
        <v>1044</v>
      </c>
      <c r="C123" s="357">
        <v>3</v>
      </c>
      <c r="D123" s="358" t="s">
        <v>704</v>
      </c>
      <c r="E123" s="257">
        <v>39082</v>
      </c>
      <c r="F123" s="115">
        <v>31951752</v>
      </c>
      <c r="G123" s="115">
        <v>31951752</v>
      </c>
      <c r="H123" s="115">
        <f>SUM(F123-G123)</f>
        <v>0</v>
      </c>
      <c r="I123" s="68">
        <v>0</v>
      </c>
    </row>
    <row r="124" spans="1:9" s="64" customFormat="1" ht="14.25" customHeight="1">
      <c r="A124" s="114" t="s">
        <v>806</v>
      </c>
      <c r="B124" s="251" t="s">
        <v>1028</v>
      </c>
      <c r="C124" s="357">
        <v>3.125</v>
      </c>
      <c r="D124" s="358" t="s">
        <v>705</v>
      </c>
      <c r="E124" s="257">
        <v>39113</v>
      </c>
      <c r="F124" s="115">
        <v>29026959</v>
      </c>
      <c r="G124" s="115">
        <v>29026959</v>
      </c>
      <c r="H124" s="115">
        <f>SUM(F124-G124)</f>
        <v>0</v>
      </c>
      <c r="I124" s="68">
        <v>0</v>
      </c>
    </row>
    <row r="125" spans="1:9" s="64" customFormat="1" ht="14.25" customHeight="1">
      <c r="A125" s="114" t="s">
        <v>510</v>
      </c>
      <c r="B125" s="251" t="s">
        <v>1030</v>
      </c>
      <c r="C125" s="357">
        <v>6.25</v>
      </c>
      <c r="D125" s="358" t="s">
        <v>706</v>
      </c>
      <c r="E125" s="257">
        <v>39128</v>
      </c>
      <c r="F125" s="115">
        <v>13103678</v>
      </c>
      <c r="G125" s="115">
        <v>12147448</v>
      </c>
      <c r="H125" s="115">
        <f t="shared" si="3"/>
        <v>956230</v>
      </c>
      <c r="I125" s="68">
        <v>313208</v>
      </c>
    </row>
    <row r="126" spans="1:9" s="64" customFormat="1" ht="14.25" customHeight="1">
      <c r="A126" s="114" t="s">
        <v>722</v>
      </c>
      <c r="B126" s="251" t="s">
        <v>1040</v>
      </c>
      <c r="C126" s="357">
        <v>2.25</v>
      </c>
      <c r="D126" s="358" t="s">
        <v>707</v>
      </c>
      <c r="E126" s="257">
        <v>39128</v>
      </c>
      <c r="F126" s="115">
        <v>25469287</v>
      </c>
      <c r="G126" s="115">
        <v>25283987</v>
      </c>
      <c r="H126" s="115">
        <f t="shared" si="3"/>
        <v>185300</v>
      </c>
      <c r="I126" s="68">
        <v>800</v>
      </c>
    </row>
    <row r="127" spans="1:9" s="64" customFormat="1" ht="14.25" customHeight="1">
      <c r="A127" s="114" t="s">
        <v>807</v>
      </c>
      <c r="B127" s="251" t="s">
        <v>1032</v>
      </c>
      <c r="C127" s="353">
        <v>3.375</v>
      </c>
      <c r="D127" s="358" t="s">
        <v>708</v>
      </c>
      <c r="E127" s="257">
        <v>39141</v>
      </c>
      <c r="F127" s="115">
        <v>32007046</v>
      </c>
      <c r="G127" s="115">
        <v>32007046</v>
      </c>
      <c r="H127" s="115">
        <f>SUM(F127-G127)</f>
        <v>0</v>
      </c>
      <c r="I127" s="68">
        <v>0</v>
      </c>
    </row>
    <row r="128" spans="1:9" s="64" customFormat="1" ht="14.25" customHeight="1">
      <c r="A128" s="114" t="s">
        <v>402</v>
      </c>
      <c r="B128" s="251" t="s">
        <v>1034</v>
      </c>
      <c r="C128" s="353">
        <v>3.75</v>
      </c>
      <c r="D128" s="358" t="s">
        <v>403</v>
      </c>
      <c r="E128" s="257">
        <v>39172</v>
      </c>
      <c r="F128" s="115">
        <v>32000981</v>
      </c>
      <c r="G128" s="115">
        <v>32000981</v>
      </c>
      <c r="H128" s="115">
        <f>SUM(F128-G128)</f>
        <v>0</v>
      </c>
      <c r="I128" s="68">
        <v>0</v>
      </c>
    </row>
    <row r="129" spans="1:9" s="64" customFormat="1" ht="14.25" customHeight="1">
      <c r="A129" s="114" t="s">
        <v>276</v>
      </c>
      <c r="B129" s="251" t="s">
        <v>1036</v>
      </c>
      <c r="C129" s="353">
        <v>3.625</v>
      </c>
      <c r="D129" s="358" t="s">
        <v>277</v>
      </c>
      <c r="E129" s="257">
        <v>39202</v>
      </c>
      <c r="F129" s="115">
        <v>31997895</v>
      </c>
      <c r="G129" s="115">
        <v>31997895</v>
      </c>
      <c r="H129" s="115">
        <f>SUM(F129-G129)</f>
        <v>0</v>
      </c>
      <c r="I129" s="68">
        <v>0</v>
      </c>
    </row>
    <row r="130" spans="1:9" s="64" customFormat="1" ht="14.25" customHeight="1">
      <c r="A130" s="114" t="s">
        <v>992</v>
      </c>
      <c r="B130" s="251" t="s">
        <v>1037</v>
      </c>
      <c r="C130" s="357">
        <v>6.625</v>
      </c>
      <c r="D130" s="358" t="s">
        <v>709</v>
      </c>
      <c r="E130" s="257">
        <v>39217</v>
      </c>
      <c r="F130" s="115">
        <v>13958186</v>
      </c>
      <c r="G130" s="115">
        <v>12727389</v>
      </c>
      <c r="H130" s="115">
        <f t="shared" si="3"/>
        <v>1230797</v>
      </c>
      <c r="I130" s="68">
        <v>13600</v>
      </c>
    </row>
    <row r="131" spans="1:9" s="64" customFormat="1" ht="14.25" customHeight="1">
      <c r="A131" s="114" t="s">
        <v>29</v>
      </c>
      <c r="B131" s="251" t="s">
        <v>867</v>
      </c>
      <c r="C131" s="357">
        <v>4.375</v>
      </c>
      <c r="D131" s="358" t="s">
        <v>935</v>
      </c>
      <c r="E131" s="257">
        <v>39217</v>
      </c>
      <c r="F131" s="115">
        <v>24351431</v>
      </c>
      <c r="G131" s="115">
        <v>24297071</v>
      </c>
      <c r="H131" s="115">
        <f t="shared" si="3"/>
        <v>54360</v>
      </c>
      <c r="I131" s="68">
        <v>0</v>
      </c>
    </row>
    <row r="132" spans="1:9" s="64" customFormat="1" ht="14.25" customHeight="1">
      <c r="A132" s="114" t="s">
        <v>808</v>
      </c>
      <c r="B132" s="251" t="s">
        <v>869</v>
      </c>
      <c r="C132" s="357">
        <v>3.125</v>
      </c>
      <c r="D132" s="358" t="s">
        <v>936</v>
      </c>
      <c r="E132" s="257">
        <v>39217</v>
      </c>
      <c r="F132" s="115">
        <v>27564268</v>
      </c>
      <c r="G132" s="115">
        <v>26407135</v>
      </c>
      <c r="H132" s="115">
        <f>SUM(F132-G132)</f>
        <v>1157133</v>
      </c>
      <c r="I132" s="68">
        <v>8600</v>
      </c>
    </row>
    <row r="133" spans="1:9" s="64" customFormat="1" ht="14.25" customHeight="1">
      <c r="A133" s="114" t="s">
        <v>284</v>
      </c>
      <c r="B133" s="251" t="s">
        <v>1038</v>
      </c>
      <c r="C133" s="357">
        <v>3.5</v>
      </c>
      <c r="D133" s="358" t="s">
        <v>433</v>
      </c>
      <c r="E133" s="257">
        <v>39233</v>
      </c>
      <c r="F133" s="115">
        <v>29119184</v>
      </c>
      <c r="G133" s="115">
        <v>29119184</v>
      </c>
      <c r="H133" s="115">
        <f>SUM(F133-G133)</f>
        <v>0</v>
      </c>
      <c r="I133" s="68">
        <v>0</v>
      </c>
    </row>
    <row r="134" spans="1:9" s="64" customFormat="1" ht="14.25" customHeight="1">
      <c r="A134" s="114" t="s">
        <v>23</v>
      </c>
      <c r="B134" s="251" t="s">
        <v>1039</v>
      </c>
      <c r="C134" s="357">
        <v>3.625</v>
      </c>
      <c r="D134" s="358" t="s">
        <v>24</v>
      </c>
      <c r="E134" s="257">
        <v>39263</v>
      </c>
      <c r="F134" s="115">
        <v>26665076</v>
      </c>
      <c r="G134" s="115">
        <v>26665076</v>
      </c>
      <c r="H134" s="115">
        <f>SUM(F134-G134)</f>
        <v>0</v>
      </c>
      <c r="I134" s="68">
        <v>0</v>
      </c>
    </row>
    <row r="135" spans="1:9" s="64" customFormat="1" ht="12.75" customHeight="1">
      <c r="A135" s="298" t="s">
        <v>30</v>
      </c>
      <c r="B135" s="251" t="s">
        <v>1042</v>
      </c>
      <c r="C135" s="357">
        <v>6.125</v>
      </c>
      <c r="D135" s="358" t="s">
        <v>937</v>
      </c>
      <c r="E135" s="257">
        <v>39309</v>
      </c>
      <c r="F135" s="115">
        <v>25636803</v>
      </c>
      <c r="G135" s="115">
        <v>23595317</v>
      </c>
      <c r="H135" s="115">
        <f t="shared" si="3"/>
        <v>2041486</v>
      </c>
      <c r="I135" s="68">
        <v>25400</v>
      </c>
    </row>
    <row r="136" spans="1:9" s="64" customFormat="1" ht="12.75" customHeight="1">
      <c r="A136" s="114" t="s">
        <v>599</v>
      </c>
      <c r="B136" s="251" t="s">
        <v>1026</v>
      </c>
      <c r="C136" s="357">
        <v>3.25</v>
      </c>
      <c r="D136" s="358" t="s">
        <v>938</v>
      </c>
      <c r="E136" s="257">
        <v>39309</v>
      </c>
      <c r="F136" s="115">
        <v>25410844</v>
      </c>
      <c r="G136" s="115">
        <v>25396464</v>
      </c>
      <c r="H136" s="115">
        <f t="shared" si="3"/>
        <v>14380</v>
      </c>
      <c r="I136" s="68">
        <v>0</v>
      </c>
    </row>
    <row r="137" spans="1:9" s="64" customFormat="1" ht="12.75" customHeight="1">
      <c r="A137" s="114" t="s">
        <v>809</v>
      </c>
      <c r="B137" s="251" t="s">
        <v>840</v>
      </c>
      <c r="C137" s="357">
        <v>2.75</v>
      </c>
      <c r="D137" s="358" t="s">
        <v>939</v>
      </c>
      <c r="E137" s="257">
        <v>39309</v>
      </c>
      <c r="F137" s="115">
        <v>24673687</v>
      </c>
      <c r="G137" s="115">
        <v>24477407</v>
      </c>
      <c r="H137" s="115">
        <f>SUM(F137-G137)</f>
        <v>196280</v>
      </c>
      <c r="I137" s="68">
        <v>2500</v>
      </c>
    </row>
    <row r="138" spans="1:9" s="64" customFormat="1" ht="12.75" customHeight="1">
      <c r="A138" s="114" t="s">
        <v>810</v>
      </c>
      <c r="B138" s="251" t="s">
        <v>1035</v>
      </c>
      <c r="C138" s="357">
        <v>3</v>
      </c>
      <c r="D138" s="358" t="s">
        <v>940</v>
      </c>
      <c r="E138" s="257">
        <v>39401</v>
      </c>
      <c r="F138" s="115">
        <v>50619528</v>
      </c>
      <c r="G138" s="115">
        <v>49508142</v>
      </c>
      <c r="H138" s="115">
        <f t="shared" si="3"/>
        <v>1111386</v>
      </c>
      <c r="I138" s="68">
        <v>62300</v>
      </c>
    </row>
    <row r="139" spans="1:9" s="64" customFormat="1" ht="14.25" customHeight="1">
      <c r="A139" s="298" t="s">
        <v>848</v>
      </c>
      <c r="B139" s="251" t="s">
        <v>1030</v>
      </c>
      <c r="C139" s="357">
        <v>5.5</v>
      </c>
      <c r="D139" s="358" t="s">
        <v>941</v>
      </c>
      <c r="E139" s="257">
        <v>39493</v>
      </c>
      <c r="F139" s="115">
        <v>13583412</v>
      </c>
      <c r="G139" s="115">
        <v>12750657</v>
      </c>
      <c r="H139" s="115">
        <f t="shared" si="3"/>
        <v>832755</v>
      </c>
      <c r="I139" s="68">
        <v>31000</v>
      </c>
    </row>
    <row r="140" spans="1:9" s="64" customFormat="1" ht="14.25" customHeight="1">
      <c r="A140" s="114" t="s">
        <v>174</v>
      </c>
      <c r="B140" s="251" t="s">
        <v>867</v>
      </c>
      <c r="C140" s="357">
        <v>3</v>
      </c>
      <c r="D140" s="358" t="s">
        <v>942</v>
      </c>
      <c r="E140" s="257">
        <v>39493</v>
      </c>
      <c r="F140" s="115">
        <v>27489260</v>
      </c>
      <c r="G140" s="115">
        <v>27346460</v>
      </c>
      <c r="H140" s="115">
        <f t="shared" si="3"/>
        <v>142800</v>
      </c>
      <c r="I140" s="68">
        <v>0</v>
      </c>
    </row>
    <row r="141" spans="1:9" s="64" customFormat="1" ht="14.25" customHeight="1">
      <c r="A141" s="114" t="s">
        <v>811</v>
      </c>
      <c r="B141" s="251" t="s">
        <v>1028</v>
      </c>
      <c r="C141" s="357">
        <v>3.375</v>
      </c>
      <c r="D141" s="358" t="s">
        <v>943</v>
      </c>
      <c r="E141" s="257">
        <v>39493</v>
      </c>
      <c r="F141" s="115">
        <v>23885083</v>
      </c>
      <c r="G141" s="115">
        <v>23742283</v>
      </c>
      <c r="H141" s="115">
        <f>SUM(F141-G141)</f>
        <v>142800</v>
      </c>
      <c r="I141" s="68">
        <v>20000</v>
      </c>
    </row>
    <row r="142" spans="1:9" s="64" customFormat="1" ht="14.25" customHeight="1">
      <c r="A142" s="298" t="s">
        <v>850</v>
      </c>
      <c r="B142" s="251" t="s">
        <v>1037</v>
      </c>
      <c r="C142" s="357">
        <v>5.625</v>
      </c>
      <c r="D142" s="358" t="s">
        <v>944</v>
      </c>
      <c r="E142" s="257">
        <v>39583</v>
      </c>
      <c r="F142" s="115">
        <v>27190961</v>
      </c>
      <c r="G142" s="115">
        <v>25462042</v>
      </c>
      <c r="H142" s="115">
        <f t="shared" si="3"/>
        <v>1728919</v>
      </c>
      <c r="I142" s="68">
        <v>14040</v>
      </c>
    </row>
    <row r="143" spans="1:9" s="64" customFormat="1" ht="14.25" customHeight="1">
      <c r="A143" s="114" t="s">
        <v>34</v>
      </c>
      <c r="B143" s="251" t="s">
        <v>1026</v>
      </c>
      <c r="C143" s="357">
        <v>2.625</v>
      </c>
      <c r="D143" s="358" t="s">
        <v>945</v>
      </c>
      <c r="E143" s="257">
        <v>39583</v>
      </c>
      <c r="F143" s="115">
        <v>33338446</v>
      </c>
      <c r="G143" s="115">
        <v>33338446</v>
      </c>
      <c r="H143" s="115">
        <f t="shared" si="3"/>
        <v>0</v>
      </c>
      <c r="I143" s="68">
        <v>0</v>
      </c>
    </row>
    <row r="144" spans="1:9" s="64" customFormat="1" ht="14.25" customHeight="1">
      <c r="A144" s="114" t="s">
        <v>278</v>
      </c>
      <c r="B144" s="251" t="s">
        <v>1032</v>
      </c>
      <c r="C144" s="357">
        <v>3.75</v>
      </c>
      <c r="D144" s="358" t="s">
        <v>279</v>
      </c>
      <c r="E144" s="257">
        <v>39583</v>
      </c>
      <c r="F144" s="115">
        <v>26707681</v>
      </c>
      <c r="G144" s="115">
        <v>26677281</v>
      </c>
      <c r="H144" s="115">
        <f t="shared" si="3"/>
        <v>30400</v>
      </c>
      <c r="I144" s="68">
        <v>0</v>
      </c>
    </row>
    <row r="145" spans="1:9" s="64" customFormat="1" ht="14.25" customHeight="1">
      <c r="A145" s="114" t="s">
        <v>812</v>
      </c>
      <c r="B145" s="251" t="s">
        <v>1035</v>
      </c>
      <c r="C145" s="357">
        <v>3.25</v>
      </c>
      <c r="D145" s="358" t="s">
        <v>952</v>
      </c>
      <c r="E145" s="257">
        <v>39675</v>
      </c>
      <c r="F145" s="115">
        <v>21357474</v>
      </c>
      <c r="G145" s="115">
        <v>20837614</v>
      </c>
      <c r="H145" s="115">
        <f t="shared" si="3"/>
        <v>519860</v>
      </c>
      <c r="I145" s="68">
        <v>9000</v>
      </c>
    </row>
    <row r="146" spans="1:9" s="64" customFormat="1" ht="14.25" customHeight="1">
      <c r="A146" s="114" t="s">
        <v>813</v>
      </c>
      <c r="B146" s="251" t="s">
        <v>1040</v>
      </c>
      <c r="C146" s="357">
        <v>3.125</v>
      </c>
      <c r="D146" s="358" t="s">
        <v>953</v>
      </c>
      <c r="E146" s="257">
        <v>39706</v>
      </c>
      <c r="F146" s="115">
        <v>16002177</v>
      </c>
      <c r="G146" s="115">
        <v>15987777</v>
      </c>
      <c r="H146" s="115">
        <f t="shared" si="3"/>
        <v>14400</v>
      </c>
      <c r="I146" s="68">
        <v>0</v>
      </c>
    </row>
    <row r="147" spans="1:9" s="64" customFormat="1" ht="14.25" customHeight="1">
      <c r="A147" s="114" t="s">
        <v>814</v>
      </c>
      <c r="B147" s="251" t="s">
        <v>869</v>
      </c>
      <c r="C147" s="357">
        <v>3.125</v>
      </c>
      <c r="D147" s="358" t="s">
        <v>954</v>
      </c>
      <c r="E147" s="257">
        <v>39736</v>
      </c>
      <c r="F147" s="115">
        <v>15995702</v>
      </c>
      <c r="G147" s="115">
        <v>15995702</v>
      </c>
      <c r="H147" s="115">
        <f t="shared" si="3"/>
        <v>0</v>
      </c>
      <c r="I147" s="68">
        <v>0</v>
      </c>
    </row>
    <row r="148" spans="1:9" s="64" customFormat="1" ht="14.25" customHeight="1">
      <c r="A148" s="298" t="s">
        <v>35</v>
      </c>
      <c r="B148" s="251" t="s">
        <v>1042</v>
      </c>
      <c r="C148" s="357">
        <v>4.75</v>
      </c>
      <c r="D148" s="358" t="s">
        <v>955</v>
      </c>
      <c r="E148" s="257">
        <v>39767</v>
      </c>
      <c r="F148" s="115">
        <v>25083125</v>
      </c>
      <c r="G148" s="115">
        <v>24780940</v>
      </c>
      <c r="H148" s="115">
        <f t="shared" si="3"/>
        <v>302185</v>
      </c>
      <c r="I148" s="68">
        <v>19400</v>
      </c>
    </row>
    <row r="149" spans="1:9" s="64" customFormat="1" ht="14.25" customHeight="1">
      <c r="A149" s="114" t="s">
        <v>511</v>
      </c>
      <c r="B149" s="251" t="s">
        <v>840</v>
      </c>
      <c r="C149" s="357">
        <v>3.375</v>
      </c>
      <c r="D149" s="358" t="s">
        <v>956</v>
      </c>
      <c r="E149" s="257">
        <v>39767</v>
      </c>
      <c r="F149" s="115">
        <v>18181033</v>
      </c>
      <c r="G149" s="115">
        <v>18041129</v>
      </c>
      <c r="H149" s="115">
        <f t="shared" si="3"/>
        <v>139904</v>
      </c>
      <c r="I149" s="68">
        <v>0</v>
      </c>
    </row>
    <row r="150" spans="1:9" s="64" customFormat="1" ht="14.25" customHeight="1">
      <c r="A150" s="114" t="s">
        <v>815</v>
      </c>
      <c r="B150" s="251" t="s">
        <v>841</v>
      </c>
      <c r="C150" s="357">
        <v>3.375</v>
      </c>
      <c r="D150" s="358" t="s">
        <v>2</v>
      </c>
      <c r="E150" s="257">
        <v>39797</v>
      </c>
      <c r="F150" s="115">
        <v>16000028</v>
      </c>
      <c r="G150" s="115">
        <v>16000028</v>
      </c>
      <c r="H150" s="115">
        <f t="shared" si="3"/>
        <v>0</v>
      </c>
      <c r="I150" s="68">
        <v>0</v>
      </c>
    </row>
    <row r="151" spans="1:9" s="64" customFormat="1" ht="14.25" customHeight="1">
      <c r="A151" s="114" t="s">
        <v>816</v>
      </c>
      <c r="B151" s="251" t="s">
        <v>1042</v>
      </c>
      <c r="C151" s="357">
        <v>3.25</v>
      </c>
      <c r="D151" s="358" t="s">
        <v>3</v>
      </c>
      <c r="E151" s="257">
        <v>39828</v>
      </c>
      <c r="F151" s="115">
        <v>16002546</v>
      </c>
      <c r="G151" s="115">
        <v>16002546</v>
      </c>
      <c r="H151" s="115">
        <f t="shared" si="3"/>
        <v>0</v>
      </c>
      <c r="I151" s="68">
        <v>0</v>
      </c>
    </row>
    <row r="152" spans="1:9" s="64" customFormat="1" ht="14.25" customHeight="1">
      <c r="A152" s="114" t="s">
        <v>817</v>
      </c>
      <c r="B152" s="251" t="s">
        <v>867</v>
      </c>
      <c r="C152" s="357">
        <v>3</v>
      </c>
      <c r="D152" s="358" t="s">
        <v>946</v>
      </c>
      <c r="E152" s="257">
        <v>39859</v>
      </c>
      <c r="F152" s="115">
        <v>17433763</v>
      </c>
      <c r="G152" s="115">
        <v>17308293</v>
      </c>
      <c r="H152" s="115">
        <f t="shared" si="3"/>
        <v>125470</v>
      </c>
      <c r="I152" s="68">
        <v>0</v>
      </c>
    </row>
    <row r="153" spans="1:9" s="64" customFormat="1" ht="14.25" customHeight="1">
      <c r="A153" s="114" t="s">
        <v>818</v>
      </c>
      <c r="B153" s="251" t="s">
        <v>1026</v>
      </c>
      <c r="C153" s="357">
        <v>2.625</v>
      </c>
      <c r="D153" s="358" t="s">
        <v>947</v>
      </c>
      <c r="E153" s="257">
        <v>39887</v>
      </c>
      <c r="F153" s="115">
        <v>16001063</v>
      </c>
      <c r="G153" s="115">
        <v>15999463</v>
      </c>
      <c r="H153" s="115">
        <f t="shared" si="3"/>
        <v>1600</v>
      </c>
      <c r="I153" s="68">
        <v>0</v>
      </c>
    </row>
    <row r="154" spans="1:9" s="64" customFormat="1" ht="14.25" customHeight="1">
      <c r="A154" s="114" t="s">
        <v>819</v>
      </c>
      <c r="B154" s="251" t="s">
        <v>1035</v>
      </c>
      <c r="C154" s="357">
        <v>3.125</v>
      </c>
      <c r="D154" s="358" t="s">
        <v>948</v>
      </c>
      <c r="E154" s="257">
        <v>39918</v>
      </c>
      <c r="F154" s="115">
        <v>16002805</v>
      </c>
      <c r="G154" s="115">
        <v>16002805</v>
      </c>
      <c r="H154" s="115">
        <f>SUM(F154-G154)</f>
        <v>0</v>
      </c>
      <c r="I154" s="68">
        <v>0</v>
      </c>
    </row>
    <row r="155" spans="1:9" s="64" customFormat="1" ht="14.25" customHeight="1">
      <c r="A155" s="298" t="s">
        <v>512</v>
      </c>
      <c r="B155" s="251" t="s">
        <v>1030</v>
      </c>
      <c r="C155" s="357">
        <v>5.5</v>
      </c>
      <c r="D155" s="358" t="s">
        <v>949</v>
      </c>
      <c r="E155" s="257">
        <v>39948</v>
      </c>
      <c r="F155" s="115">
        <v>14794790</v>
      </c>
      <c r="G155" s="115">
        <v>14703490</v>
      </c>
      <c r="H155" s="115">
        <f t="shared" si="3"/>
        <v>91300</v>
      </c>
      <c r="I155" s="68">
        <v>2700</v>
      </c>
    </row>
    <row r="156" spans="1:9" s="64" customFormat="1" ht="14.25" customHeight="1">
      <c r="A156" s="298" t="s">
        <v>1049</v>
      </c>
      <c r="B156" s="251" t="s">
        <v>1040</v>
      </c>
      <c r="C156" s="357">
        <v>3.875</v>
      </c>
      <c r="D156" s="358" t="s">
        <v>950</v>
      </c>
      <c r="E156" s="257">
        <v>39948</v>
      </c>
      <c r="F156" s="115">
        <v>18059937</v>
      </c>
      <c r="G156" s="115">
        <v>17778927</v>
      </c>
      <c r="H156" s="115">
        <f>SUM(F156-G156)</f>
        <v>281010</v>
      </c>
      <c r="I156" s="68">
        <v>0</v>
      </c>
    </row>
    <row r="157" spans="1:9" s="64" customFormat="1" ht="14.25" customHeight="1">
      <c r="A157" s="114" t="s">
        <v>820</v>
      </c>
      <c r="B157" s="251" t="s">
        <v>869</v>
      </c>
      <c r="C157" s="357">
        <v>4</v>
      </c>
      <c r="D157" s="358" t="s">
        <v>951</v>
      </c>
      <c r="E157" s="257">
        <v>39979</v>
      </c>
      <c r="F157" s="115">
        <v>15004754</v>
      </c>
      <c r="G157" s="115">
        <v>15004754</v>
      </c>
      <c r="H157" s="115">
        <f>SUM(F157-G157)</f>
        <v>0</v>
      </c>
      <c r="I157" s="68">
        <v>0</v>
      </c>
    </row>
    <row r="158" spans="1:9" s="64" customFormat="1" ht="14.25" customHeight="1">
      <c r="A158" s="114" t="s">
        <v>821</v>
      </c>
      <c r="B158" s="251" t="s">
        <v>840</v>
      </c>
      <c r="C158" s="357">
        <v>3.625</v>
      </c>
      <c r="D158" s="358" t="s">
        <v>8</v>
      </c>
      <c r="E158" s="257">
        <v>40009</v>
      </c>
      <c r="F158" s="115">
        <v>15004962</v>
      </c>
      <c r="G158" s="115">
        <v>15004962</v>
      </c>
      <c r="H158" s="115">
        <f>SUM(F158-G158)</f>
        <v>0</v>
      </c>
      <c r="I158" s="68">
        <v>0</v>
      </c>
    </row>
    <row r="159" spans="1:9" s="64" customFormat="1" ht="14.25" customHeight="1">
      <c r="A159" s="114" t="s">
        <v>1050</v>
      </c>
      <c r="B159" s="251" t="s">
        <v>1037</v>
      </c>
      <c r="C159" s="357">
        <v>6</v>
      </c>
      <c r="D159" s="358" t="s">
        <v>710</v>
      </c>
      <c r="E159" s="257">
        <v>40040</v>
      </c>
      <c r="F159" s="115">
        <v>27399894</v>
      </c>
      <c r="G159" s="115">
        <v>26403188</v>
      </c>
      <c r="H159" s="115">
        <f aca="true" t="shared" si="4" ref="H159:H181">SUM(F159-G159)</f>
        <v>996706</v>
      </c>
      <c r="I159" s="68">
        <v>72300</v>
      </c>
    </row>
    <row r="160" spans="1:9" s="64" customFormat="1" ht="14.25" customHeight="1">
      <c r="A160" s="114" t="s">
        <v>492</v>
      </c>
      <c r="B160" s="251" t="s">
        <v>841</v>
      </c>
      <c r="C160" s="357">
        <v>3.5</v>
      </c>
      <c r="D160" s="358" t="s">
        <v>711</v>
      </c>
      <c r="E160" s="257">
        <v>40040</v>
      </c>
      <c r="F160" s="115">
        <v>17294686</v>
      </c>
      <c r="G160" s="115">
        <v>17294686</v>
      </c>
      <c r="H160" s="115">
        <f t="shared" si="4"/>
        <v>0</v>
      </c>
      <c r="I160" s="68">
        <v>0</v>
      </c>
    </row>
    <row r="161" spans="1:9" s="64" customFormat="1" ht="14.25" customHeight="1">
      <c r="A161" s="114" t="s">
        <v>822</v>
      </c>
      <c r="B161" s="251" t="s">
        <v>1028</v>
      </c>
      <c r="C161" s="357">
        <v>3.375</v>
      </c>
      <c r="D161" s="358" t="s">
        <v>712</v>
      </c>
      <c r="E161" s="257">
        <v>40071</v>
      </c>
      <c r="F161" s="115">
        <v>15005079</v>
      </c>
      <c r="G161" s="115">
        <v>15005079</v>
      </c>
      <c r="H161" s="115">
        <f>SUM(F161-G161)</f>
        <v>0</v>
      </c>
      <c r="I161" s="68">
        <v>0</v>
      </c>
    </row>
    <row r="162" spans="1:9" s="64" customFormat="1" ht="14.25" customHeight="1">
      <c r="A162" s="114" t="s">
        <v>823</v>
      </c>
      <c r="B162" s="251" t="s">
        <v>1032</v>
      </c>
      <c r="C162" s="357">
        <v>3.375</v>
      </c>
      <c r="D162" s="358" t="s">
        <v>713</v>
      </c>
      <c r="E162" s="257">
        <v>40101</v>
      </c>
      <c r="F162" s="115">
        <v>15005091</v>
      </c>
      <c r="G162" s="115">
        <v>14944291</v>
      </c>
      <c r="H162" s="115">
        <f>SUM(F162-G162)</f>
        <v>60800</v>
      </c>
      <c r="I162" s="68">
        <v>0</v>
      </c>
    </row>
    <row r="163" spans="1:9" s="64" customFormat="1" ht="14.25" customHeight="1">
      <c r="A163" s="114" t="s">
        <v>824</v>
      </c>
      <c r="B163" s="251" t="s">
        <v>1034</v>
      </c>
      <c r="C163" s="357">
        <v>3.5</v>
      </c>
      <c r="D163" s="358" t="s">
        <v>714</v>
      </c>
      <c r="E163" s="257">
        <v>40132</v>
      </c>
      <c r="F163" s="115">
        <v>18751928</v>
      </c>
      <c r="G163" s="115">
        <v>18713868</v>
      </c>
      <c r="H163" s="115">
        <f>SUM(F163-G163)</f>
        <v>38060</v>
      </c>
      <c r="I163" s="68">
        <v>0</v>
      </c>
    </row>
    <row r="164" spans="1:9" s="64" customFormat="1" ht="14.25" customHeight="1">
      <c r="A164" s="114" t="s">
        <v>825</v>
      </c>
      <c r="B164" s="251" t="s">
        <v>1036</v>
      </c>
      <c r="C164" s="357">
        <v>3.5</v>
      </c>
      <c r="D164" s="358" t="s">
        <v>657</v>
      </c>
      <c r="E164" s="257">
        <v>40162</v>
      </c>
      <c r="F164" s="115">
        <v>15002485</v>
      </c>
      <c r="G164" s="115">
        <v>15002485</v>
      </c>
      <c r="H164" s="115">
        <f>SUM(F164-G164)</f>
        <v>0</v>
      </c>
      <c r="I164" s="68">
        <v>0</v>
      </c>
    </row>
    <row r="165" spans="1:9" s="64" customFormat="1" ht="14.25" customHeight="1">
      <c r="A165" s="114" t="s">
        <v>826</v>
      </c>
      <c r="B165" s="251" t="s">
        <v>867</v>
      </c>
      <c r="C165" s="357">
        <v>3.625</v>
      </c>
      <c r="D165" s="358" t="s">
        <v>658</v>
      </c>
      <c r="E165" s="257">
        <v>40193</v>
      </c>
      <c r="F165" s="115">
        <v>15004697</v>
      </c>
      <c r="G165" s="115">
        <v>15004697</v>
      </c>
      <c r="H165" s="115">
        <f>SUM(F165-G165)</f>
        <v>0</v>
      </c>
      <c r="I165" s="68">
        <v>0</v>
      </c>
    </row>
    <row r="166" spans="1:9" s="64" customFormat="1" ht="14.25" customHeight="1">
      <c r="A166" s="298" t="s">
        <v>491</v>
      </c>
      <c r="B166" s="251" t="s">
        <v>1030</v>
      </c>
      <c r="C166" s="357">
        <v>6.5</v>
      </c>
      <c r="D166" s="358" t="s">
        <v>659</v>
      </c>
      <c r="E166" s="257">
        <v>40224</v>
      </c>
      <c r="F166" s="115">
        <v>23355709</v>
      </c>
      <c r="G166" s="115">
        <v>22119639</v>
      </c>
      <c r="H166" s="115">
        <f t="shared" si="4"/>
        <v>1236070</v>
      </c>
      <c r="I166" s="68">
        <v>800</v>
      </c>
    </row>
    <row r="167" spans="1:9" s="64" customFormat="1" ht="14.25" customHeight="1">
      <c r="A167" s="114" t="s">
        <v>170</v>
      </c>
      <c r="B167" s="251" t="s">
        <v>1026</v>
      </c>
      <c r="C167" s="357">
        <v>3.5</v>
      </c>
      <c r="D167" s="358" t="s">
        <v>660</v>
      </c>
      <c r="E167" s="257">
        <v>40224</v>
      </c>
      <c r="F167" s="115">
        <v>16617068</v>
      </c>
      <c r="G167" s="115">
        <v>16616948</v>
      </c>
      <c r="H167" s="115">
        <f>SUM(F167-G167)</f>
        <v>120</v>
      </c>
      <c r="I167" s="68">
        <v>0</v>
      </c>
    </row>
    <row r="168" spans="1:9" s="64" customFormat="1" ht="14.25" customHeight="1">
      <c r="A168" s="114" t="s">
        <v>409</v>
      </c>
      <c r="B168" s="251" t="s">
        <v>1035</v>
      </c>
      <c r="C168" s="357">
        <v>4</v>
      </c>
      <c r="D168" s="358" t="s">
        <v>410</v>
      </c>
      <c r="E168" s="257">
        <v>40252</v>
      </c>
      <c r="F168" s="115">
        <v>15005048</v>
      </c>
      <c r="G168" s="115">
        <v>15005048</v>
      </c>
      <c r="H168" s="115">
        <f>SUM(F168-G168)</f>
        <v>0</v>
      </c>
      <c r="I168" s="68">
        <v>0</v>
      </c>
    </row>
    <row r="169" spans="1:9" s="64" customFormat="1" ht="14.25" customHeight="1">
      <c r="A169" s="114" t="s">
        <v>546</v>
      </c>
      <c r="B169" s="251" t="s">
        <v>1040</v>
      </c>
      <c r="C169" s="357">
        <v>4</v>
      </c>
      <c r="D169" s="358" t="s">
        <v>547</v>
      </c>
      <c r="E169" s="257">
        <v>40283</v>
      </c>
      <c r="F169" s="115">
        <v>15001494</v>
      </c>
      <c r="G169" s="115">
        <v>15001494</v>
      </c>
      <c r="H169" s="115">
        <f>SUM(F169-G169)</f>
        <v>0</v>
      </c>
      <c r="I169" s="68">
        <v>0</v>
      </c>
    </row>
    <row r="170" spans="1:9" s="64" customFormat="1" ht="14.25" customHeight="1">
      <c r="A170" s="114" t="s">
        <v>280</v>
      </c>
      <c r="B170" s="251" t="s">
        <v>869</v>
      </c>
      <c r="C170" s="357">
        <v>3.875</v>
      </c>
      <c r="D170" s="358" t="s">
        <v>281</v>
      </c>
      <c r="E170" s="257">
        <v>40313</v>
      </c>
      <c r="F170" s="115">
        <v>18748844</v>
      </c>
      <c r="G170" s="115">
        <v>18558044</v>
      </c>
      <c r="H170" s="115">
        <f>SUM(F170-G170)</f>
        <v>190800</v>
      </c>
      <c r="I170" s="68">
        <v>3200</v>
      </c>
    </row>
    <row r="171" spans="1:9" s="64" customFormat="1" ht="14.25" customHeight="1">
      <c r="A171" s="114" t="s">
        <v>20</v>
      </c>
      <c r="B171" s="251" t="s">
        <v>840</v>
      </c>
      <c r="C171" s="357">
        <v>3.625</v>
      </c>
      <c r="D171" s="358" t="s">
        <v>25</v>
      </c>
      <c r="E171" s="257">
        <v>40344</v>
      </c>
      <c r="F171" s="115">
        <v>14001099</v>
      </c>
      <c r="G171" s="115">
        <v>14001099</v>
      </c>
      <c r="H171" s="115">
        <f>SUM(F171-G171)</f>
        <v>0</v>
      </c>
      <c r="I171" s="68">
        <v>0</v>
      </c>
    </row>
    <row r="172" spans="1:9" s="64" customFormat="1" ht="14.25" customHeight="1">
      <c r="A172" s="298" t="s">
        <v>171</v>
      </c>
      <c r="B172" s="251" t="s">
        <v>1037</v>
      </c>
      <c r="C172" s="357">
        <v>5.75</v>
      </c>
      <c r="D172" s="358" t="s">
        <v>661</v>
      </c>
      <c r="E172" s="257">
        <v>40405</v>
      </c>
      <c r="F172" s="115">
        <v>22437594</v>
      </c>
      <c r="G172" s="115">
        <v>21023372</v>
      </c>
      <c r="H172" s="115">
        <f t="shared" si="4"/>
        <v>1414222</v>
      </c>
      <c r="I172" s="68">
        <v>202200</v>
      </c>
    </row>
    <row r="173" spans="1:9" s="64" customFormat="1" ht="14.25" customHeight="1">
      <c r="A173" s="298" t="s">
        <v>1123</v>
      </c>
      <c r="B173" s="251" t="s">
        <v>1030</v>
      </c>
      <c r="C173" s="357">
        <v>5</v>
      </c>
      <c r="D173" s="358" t="s">
        <v>662</v>
      </c>
      <c r="E173" s="257">
        <v>40589</v>
      </c>
      <c r="F173" s="115">
        <v>23436329</v>
      </c>
      <c r="G173" s="115">
        <v>23056169</v>
      </c>
      <c r="H173" s="115">
        <f t="shared" si="4"/>
        <v>380160</v>
      </c>
      <c r="I173" s="68">
        <v>0</v>
      </c>
    </row>
    <row r="174" spans="1:9" s="64" customFormat="1" ht="14.25" customHeight="1">
      <c r="A174" s="298" t="s">
        <v>1124</v>
      </c>
      <c r="B174" s="251" t="s">
        <v>1037</v>
      </c>
      <c r="C174" s="357">
        <v>5</v>
      </c>
      <c r="D174" s="358" t="s">
        <v>663</v>
      </c>
      <c r="E174" s="257">
        <v>40770</v>
      </c>
      <c r="F174" s="115">
        <v>26635316</v>
      </c>
      <c r="G174" s="115">
        <v>26239096</v>
      </c>
      <c r="H174" s="115">
        <f t="shared" si="4"/>
        <v>396220</v>
      </c>
      <c r="I174" s="68">
        <v>88960</v>
      </c>
    </row>
    <row r="175" spans="1:9" s="64" customFormat="1" ht="14.25" customHeight="1">
      <c r="A175" s="298" t="s">
        <v>1125</v>
      </c>
      <c r="B175" s="251" t="s">
        <v>1030</v>
      </c>
      <c r="C175" s="357">
        <v>4.875</v>
      </c>
      <c r="D175" s="358" t="s">
        <v>664</v>
      </c>
      <c r="E175" s="257">
        <v>40954</v>
      </c>
      <c r="F175" s="115">
        <v>24779838</v>
      </c>
      <c r="G175" s="115">
        <v>24730638</v>
      </c>
      <c r="H175" s="115">
        <f t="shared" si="4"/>
        <v>49200</v>
      </c>
      <c r="I175" s="68">
        <v>0</v>
      </c>
    </row>
    <row r="176" spans="1:9" s="64" customFormat="1" ht="14.25" customHeight="1">
      <c r="A176" s="114" t="s">
        <v>849</v>
      </c>
      <c r="B176" s="251" t="s">
        <v>1042</v>
      </c>
      <c r="C176" s="357">
        <v>4.375</v>
      </c>
      <c r="D176" s="358" t="s">
        <v>665</v>
      </c>
      <c r="E176" s="257">
        <v>41136</v>
      </c>
      <c r="F176" s="115">
        <v>19647976</v>
      </c>
      <c r="G176" s="115">
        <v>19588376</v>
      </c>
      <c r="H176" s="115">
        <f t="shared" si="4"/>
        <v>59600</v>
      </c>
      <c r="I176" s="68">
        <v>0</v>
      </c>
    </row>
    <row r="177" spans="1:9" s="64" customFormat="1" ht="14.25" customHeight="1">
      <c r="A177" s="114" t="s">
        <v>827</v>
      </c>
      <c r="B177" s="251" t="s">
        <v>867</v>
      </c>
      <c r="C177" s="357">
        <v>4</v>
      </c>
      <c r="D177" s="358" t="s">
        <v>666</v>
      </c>
      <c r="E177" s="257">
        <v>41228</v>
      </c>
      <c r="F177" s="115">
        <v>18112742</v>
      </c>
      <c r="G177" s="115">
        <v>18112542</v>
      </c>
      <c r="H177" s="115">
        <f t="shared" si="4"/>
        <v>200</v>
      </c>
      <c r="I177" s="68">
        <v>0</v>
      </c>
    </row>
    <row r="178" spans="1:9" s="64" customFormat="1" ht="14.25" customHeight="1">
      <c r="A178" s="114" t="s">
        <v>828</v>
      </c>
      <c r="B178" s="251" t="s">
        <v>871</v>
      </c>
      <c r="C178" s="357">
        <v>3.875</v>
      </c>
      <c r="D178" s="358" t="s">
        <v>667</v>
      </c>
      <c r="E178" s="302">
        <v>41320</v>
      </c>
      <c r="F178" s="303">
        <v>19498396</v>
      </c>
      <c r="G178" s="115">
        <v>19490756</v>
      </c>
      <c r="H178" s="115">
        <f t="shared" si="4"/>
        <v>7640</v>
      </c>
      <c r="I178" s="68">
        <v>1600</v>
      </c>
    </row>
    <row r="179" spans="1:9" s="64" customFormat="1" ht="14.25" customHeight="1">
      <c r="A179" s="114" t="s">
        <v>829</v>
      </c>
      <c r="B179" s="251" t="s">
        <v>1030</v>
      </c>
      <c r="C179" s="357">
        <v>3.625</v>
      </c>
      <c r="D179" s="358" t="s">
        <v>668</v>
      </c>
      <c r="E179" s="257">
        <v>41409</v>
      </c>
      <c r="F179" s="115">
        <v>18253553</v>
      </c>
      <c r="G179" s="115">
        <v>18247153</v>
      </c>
      <c r="H179" s="115">
        <f t="shared" si="4"/>
        <v>6400</v>
      </c>
      <c r="I179" s="68">
        <v>0</v>
      </c>
    </row>
    <row r="180" spans="1:9" s="64" customFormat="1" ht="14.25" customHeight="1">
      <c r="A180" s="114" t="s">
        <v>830</v>
      </c>
      <c r="B180" s="251" t="s">
        <v>1042</v>
      </c>
      <c r="C180" s="357">
        <v>4.25</v>
      </c>
      <c r="D180" s="358" t="s">
        <v>669</v>
      </c>
      <c r="E180" s="257">
        <v>41501</v>
      </c>
      <c r="F180" s="115">
        <v>33521123</v>
      </c>
      <c r="G180" s="115">
        <v>33497923</v>
      </c>
      <c r="H180" s="115">
        <f t="shared" si="4"/>
        <v>23200</v>
      </c>
      <c r="I180" s="68">
        <v>0</v>
      </c>
    </row>
    <row r="181" spans="1:9" s="64" customFormat="1" ht="14.25" customHeight="1">
      <c r="A181" s="114" t="s">
        <v>831</v>
      </c>
      <c r="B181" s="251" t="s">
        <v>867</v>
      </c>
      <c r="C181" s="357">
        <v>4.25</v>
      </c>
      <c r="D181" s="358" t="s">
        <v>670</v>
      </c>
      <c r="E181" s="257">
        <v>41593</v>
      </c>
      <c r="F181" s="115">
        <v>30636844</v>
      </c>
      <c r="G181" s="115">
        <v>30636844</v>
      </c>
      <c r="H181" s="115">
        <f t="shared" si="4"/>
        <v>0</v>
      </c>
      <c r="I181" s="68">
        <v>0</v>
      </c>
    </row>
    <row r="182" spans="1:9" s="64" customFormat="1" ht="14.25" customHeight="1">
      <c r="A182" s="114" t="s">
        <v>832</v>
      </c>
      <c r="B182" s="251" t="s">
        <v>1030</v>
      </c>
      <c r="C182" s="357">
        <v>4</v>
      </c>
      <c r="D182" s="358" t="s">
        <v>671</v>
      </c>
      <c r="E182" s="257">
        <v>41685</v>
      </c>
      <c r="F182" s="115">
        <v>28081066</v>
      </c>
      <c r="G182" s="115">
        <v>28079066</v>
      </c>
      <c r="H182" s="115">
        <f aca="true" t="shared" si="5" ref="H182:H187">SUM(F182-G182)</f>
        <v>2000</v>
      </c>
      <c r="I182" s="68">
        <v>0</v>
      </c>
    </row>
    <row r="183" spans="1:9" s="64" customFormat="1" ht="14.25" customHeight="1">
      <c r="A183" s="114" t="s">
        <v>833</v>
      </c>
      <c r="B183" s="251" t="s">
        <v>1037</v>
      </c>
      <c r="C183" s="357">
        <v>4.75</v>
      </c>
      <c r="D183" s="358" t="s">
        <v>672</v>
      </c>
      <c r="E183" s="257">
        <v>41774</v>
      </c>
      <c r="F183" s="115">
        <v>27302981</v>
      </c>
      <c r="G183" s="115">
        <v>27138561</v>
      </c>
      <c r="H183" s="115">
        <f t="shared" si="5"/>
        <v>164420</v>
      </c>
      <c r="I183" s="68">
        <v>0</v>
      </c>
    </row>
    <row r="184" spans="1:9" s="64" customFormat="1" ht="14.25" customHeight="1">
      <c r="A184" s="114" t="s">
        <v>1120</v>
      </c>
      <c r="B184" s="251" t="s">
        <v>867</v>
      </c>
      <c r="C184" s="357">
        <v>4.25</v>
      </c>
      <c r="D184" s="358" t="s">
        <v>673</v>
      </c>
      <c r="E184" s="257">
        <v>41866</v>
      </c>
      <c r="F184" s="115">
        <v>24721634</v>
      </c>
      <c r="G184" s="115">
        <v>24720834</v>
      </c>
      <c r="H184" s="115">
        <f t="shared" si="5"/>
        <v>800</v>
      </c>
      <c r="I184" s="68">
        <v>0</v>
      </c>
    </row>
    <row r="185" spans="1:9" s="64" customFormat="1" ht="14.25" customHeight="1">
      <c r="A185" s="114" t="s">
        <v>1121</v>
      </c>
      <c r="B185" s="251" t="s">
        <v>1026</v>
      </c>
      <c r="C185" s="357">
        <v>4.25</v>
      </c>
      <c r="D185" s="358" t="s">
        <v>674</v>
      </c>
      <c r="E185" s="257">
        <v>41958</v>
      </c>
      <c r="F185" s="115">
        <v>25472536</v>
      </c>
      <c r="G185" s="115">
        <v>25472536</v>
      </c>
      <c r="H185" s="115">
        <f t="shared" si="5"/>
        <v>0</v>
      </c>
      <c r="I185" s="68">
        <v>0</v>
      </c>
    </row>
    <row r="186" spans="1:9" s="64" customFormat="1" ht="14.25" customHeight="1">
      <c r="A186" s="114" t="s">
        <v>1122</v>
      </c>
      <c r="B186" s="251" t="s">
        <v>1030</v>
      </c>
      <c r="C186" s="357">
        <v>4</v>
      </c>
      <c r="D186" s="358" t="s">
        <v>656</v>
      </c>
      <c r="E186" s="257">
        <v>42050</v>
      </c>
      <c r="F186" s="115">
        <v>24214991</v>
      </c>
      <c r="G186" s="115">
        <v>24214991</v>
      </c>
      <c r="H186" s="115">
        <f t="shared" si="5"/>
        <v>0</v>
      </c>
      <c r="I186" s="68">
        <v>0</v>
      </c>
    </row>
    <row r="187" spans="1:9" s="64" customFormat="1" ht="14.25" customHeight="1">
      <c r="A187" s="114" t="s">
        <v>282</v>
      </c>
      <c r="B187" s="251" t="s">
        <v>1037</v>
      </c>
      <c r="C187" s="397">
        <v>4.125</v>
      </c>
      <c r="D187" s="358" t="s">
        <v>283</v>
      </c>
      <c r="E187" s="257">
        <v>42139</v>
      </c>
      <c r="F187" s="115">
        <v>24471849</v>
      </c>
      <c r="G187" s="115">
        <v>24471849</v>
      </c>
      <c r="H187" s="115">
        <f t="shared" si="5"/>
        <v>0</v>
      </c>
      <c r="I187" s="68">
        <v>0</v>
      </c>
    </row>
    <row r="188" spans="1:9" s="64" customFormat="1" ht="14.25" customHeight="1">
      <c r="A188" s="114"/>
      <c r="B188" s="251"/>
      <c r="C188" s="397"/>
      <c r="D188" s="358"/>
      <c r="E188" s="257"/>
      <c r="F188" s="115"/>
      <c r="G188" s="115"/>
      <c r="H188" s="115"/>
      <c r="I188" s="68"/>
    </row>
    <row r="189" spans="1:9" s="392" customFormat="1" ht="19.5" customHeight="1">
      <c r="A189" s="392" t="s">
        <v>893</v>
      </c>
      <c r="B189" s="398"/>
      <c r="C189" s="399"/>
      <c r="D189" s="400" t="s">
        <v>62</v>
      </c>
      <c r="E189" s="401"/>
      <c r="F189" s="402">
        <f>SUM(F94:F187)</f>
        <v>2273012994</v>
      </c>
      <c r="G189" s="402">
        <f>SUM(G94:G187)</f>
        <v>2248635928</v>
      </c>
      <c r="H189" s="402">
        <f>SUM(H94:H186)</f>
        <v>24377066</v>
      </c>
      <c r="I189" s="403">
        <f>SUM(I94:I187)</f>
        <v>1119368</v>
      </c>
    </row>
    <row r="190" spans="1:10" s="64" customFormat="1" ht="16.5" customHeight="1" thickBot="1">
      <c r="A190" s="359" t="s">
        <v>241</v>
      </c>
      <c r="B190" s="360"/>
      <c r="C190" s="360"/>
      <c r="D190" s="360"/>
      <c r="E190" s="360"/>
      <c r="F190" s="361">
        <f>SUM(+F55+F189+F74)</f>
        <v>3050990316.95415</v>
      </c>
      <c r="G190" s="361">
        <f>SUM(+G55+G189+G74)</f>
        <v>2874183909.45415</v>
      </c>
      <c r="H190" s="362">
        <f>SUM(+H55+H189+H74)</f>
        <v>176806407.5</v>
      </c>
      <c r="I190" s="363">
        <f>SUM(+I55+I189+I74)</f>
        <v>32725628</v>
      </c>
      <c r="J190" s="259"/>
    </row>
    <row r="191" s="64" customFormat="1" ht="15.75" thickTop="1"/>
    <row r="192" s="64" customFormat="1" ht="15"/>
    <row r="193" s="64" customFormat="1" ht="15"/>
    <row r="194" s="64" customFormat="1" ht="15"/>
    <row r="195" s="64" customFormat="1" ht="15"/>
    <row r="196" s="64" customFormat="1" ht="15"/>
    <row r="197" s="64" customFormat="1" ht="15"/>
    <row r="198" s="64" customFormat="1" ht="15"/>
    <row r="199" s="64" customFormat="1" ht="15"/>
    <row r="200" s="64" customFormat="1" ht="15"/>
    <row r="201" s="64" customFormat="1" ht="15"/>
    <row r="202" s="64" customFormat="1" ht="15"/>
    <row r="203" s="64" customFormat="1" ht="15"/>
    <row r="204" s="64" customFormat="1" ht="15"/>
    <row r="205" s="64" customFormat="1" ht="15"/>
    <row r="206" s="64" customFormat="1" ht="15"/>
    <row r="207" s="64" customFormat="1" ht="15"/>
    <row r="208" s="64" customFormat="1" ht="15"/>
    <row r="209" s="64" customFormat="1" ht="15"/>
    <row r="210" s="64" customFormat="1" ht="15"/>
    <row r="211" s="64" customFormat="1" ht="15"/>
    <row r="212" s="64" customFormat="1" ht="15"/>
    <row r="213" s="64" customFormat="1" ht="15"/>
    <row r="214" s="64" customFormat="1" ht="15"/>
    <row r="215" s="64" customFormat="1" ht="15"/>
    <row r="216" s="64" customFormat="1" ht="15"/>
    <row r="217" s="64" customFormat="1" ht="15"/>
    <row r="218" s="64" customFormat="1" ht="15"/>
    <row r="219" s="64" customFormat="1" ht="15"/>
    <row r="220" s="64" customFormat="1" ht="15"/>
    <row r="221" s="64" customFormat="1" ht="15"/>
    <row r="222" s="64" customFormat="1" ht="15"/>
    <row r="223" s="64" customFormat="1" ht="15"/>
    <row r="224" s="64" customFormat="1" ht="15"/>
    <row r="225" s="64" customFormat="1" ht="15"/>
    <row r="226" s="64" customFormat="1" ht="15"/>
  </sheetData>
  <printOptions horizontalCentered="1"/>
  <pageMargins left="0.5" right="0.5" top="0.4" bottom="0.25" header="0" footer="0"/>
  <pageSetup fitToHeight="2" horizontalDpi="300" verticalDpi="300" orientation="portrait" scale="50" r:id="rId1"/>
  <rowBreaks count="1" manualBreakCount="1">
    <brk id="86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="75" zoomScaleNormal="75" zoomScaleSheetLayoutView="75" workbookViewId="0" topLeftCell="A1">
      <selection activeCell="D2" sqref="D2"/>
    </sheetView>
  </sheetViews>
  <sheetFormatPr defaultColWidth="9.77734375" defaultRowHeight="15"/>
  <cols>
    <col min="1" max="1" width="3.77734375" style="0" customWidth="1"/>
    <col min="2" max="3" width="20.77734375" style="0" customWidth="1"/>
    <col min="4" max="4" width="1.77734375" style="0" customWidth="1"/>
    <col min="5" max="12" width="9.77734375" style="0" customWidth="1"/>
    <col min="13" max="13" width="10.3359375" style="0" customWidth="1"/>
  </cols>
  <sheetData>
    <row r="1" spans="1:13" s="376" customFormat="1" ht="30.75" customHeight="1">
      <c r="A1" s="377">
        <v>12</v>
      </c>
      <c r="B1" s="374" t="s">
        <v>733</v>
      </c>
      <c r="C1" s="374"/>
      <c r="D1" s="375"/>
      <c r="E1" s="375"/>
      <c r="F1" s="375"/>
      <c r="G1" s="375"/>
      <c r="H1" s="375"/>
      <c r="I1" s="375"/>
      <c r="J1" s="375"/>
      <c r="K1" s="375"/>
      <c r="L1" s="375"/>
      <c r="M1" s="375"/>
    </row>
    <row r="2" spans="1:2" s="64" customFormat="1" ht="16.5" customHeight="1">
      <c r="A2" s="252" t="s">
        <v>242</v>
      </c>
      <c r="B2" s="114" t="s">
        <v>121</v>
      </c>
    </row>
    <row r="3" spans="1:3" s="64" customFormat="1" ht="16.5" customHeight="1">
      <c r="A3" s="51">
        <v>1</v>
      </c>
      <c r="B3" s="114" t="s">
        <v>392</v>
      </c>
      <c r="C3" s="239"/>
    </row>
    <row r="4" spans="1:3" s="64" customFormat="1" ht="16.5" customHeight="1">
      <c r="A4" s="51">
        <v>2</v>
      </c>
      <c r="B4" s="114" t="s">
        <v>569</v>
      </c>
      <c r="C4" s="239"/>
    </row>
    <row r="5" spans="1:3" s="64" customFormat="1" ht="16.5" customHeight="1">
      <c r="A5" s="51"/>
      <c r="B5" s="114" t="s">
        <v>180</v>
      </c>
      <c r="C5" s="239"/>
    </row>
    <row r="6" spans="1:3" s="64" customFormat="1" ht="16.5" customHeight="1">
      <c r="A6" s="51">
        <v>3</v>
      </c>
      <c r="B6" s="114" t="s">
        <v>243</v>
      </c>
      <c r="C6" s="239"/>
    </row>
    <row r="7" spans="1:3" s="64" customFormat="1" ht="16.5" customHeight="1">
      <c r="A7" s="51">
        <v>4</v>
      </c>
      <c r="B7" s="114" t="s">
        <v>570</v>
      </c>
      <c r="C7" s="239"/>
    </row>
    <row r="8" spans="1:3" s="64" customFormat="1" ht="16.5" customHeight="1">
      <c r="A8" s="51">
        <v>5</v>
      </c>
      <c r="B8" s="114" t="s">
        <v>575</v>
      </c>
      <c r="C8" s="239"/>
    </row>
    <row r="9" spans="1:3" s="64" customFormat="1" ht="16.5" customHeight="1">
      <c r="A9" s="51">
        <v>6</v>
      </c>
      <c r="B9" s="114" t="s">
        <v>369</v>
      </c>
      <c r="C9" s="239"/>
    </row>
    <row r="10" spans="1:3" s="64" customFormat="1" ht="16.5" customHeight="1">
      <c r="A10" s="51"/>
      <c r="B10" s="114" t="s">
        <v>1101</v>
      </c>
      <c r="C10" s="239"/>
    </row>
    <row r="11" spans="1:3" s="64" customFormat="1" ht="16.5" customHeight="1">
      <c r="A11" s="51"/>
      <c r="B11" s="114" t="s">
        <v>264</v>
      </c>
      <c r="C11" s="239"/>
    </row>
    <row r="12" spans="1:2" s="64" customFormat="1" ht="16.5" customHeight="1">
      <c r="A12" s="51">
        <v>7</v>
      </c>
      <c r="B12" s="114" t="s">
        <v>387</v>
      </c>
    </row>
    <row r="13" spans="1:2" s="64" customFormat="1" ht="16.5" customHeight="1">
      <c r="A13" s="51">
        <v>8</v>
      </c>
      <c r="B13" s="114" t="s">
        <v>159</v>
      </c>
    </row>
    <row r="14" spans="1:2" s="64" customFormat="1" ht="16.5" customHeight="1">
      <c r="A14" s="51">
        <v>9</v>
      </c>
      <c r="B14" s="114" t="s">
        <v>237</v>
      </c>
    </row>
    <row r="15" spans="1:2" s="64" customFormat="1" ht="16.5" customHeight="1">
      <c r="A15" s="51">
        <v>10</v>
      </c>
      <c r="B15" s="114" t="s">
        <v>238</v>
      </c>
    </row>
    <row r="16" spans="1:2" s="64" customFormat="1" ht="16.5" customHeight="1">
      <c r="A16" s="51">
        <v>11</v>
      </c>
      <c r="B16" s="114" t="s">
        <v>434</v>
      </c>
    </row>
    <row r="17" spans="1:2" s="64" customFormat="1" ht="16.5" customHeight="1">
      <c r="A17" s="51"/>
      <c r="B17" s="114" t="s">
        <v>435</v>
      </c>
    </row>
    <row r="18" spans="1:2" s="64" customFormat="1" ht="16.5" customHeight="1">
      <c r="A18" s="51">
        <v>12</v>
      </c>
      <c r="B18" s="114" t="s">
        <v>445</v>
      </c>
    </row>
    <row r="19" spans="1:2" s="64" customFormat="1" ht="16.5" customHeight="1">
      <c r="A19" s="51"/>
      <c r="B19" s="114" t="s">
        <v>251</v>
      </c>
    </row>
    <row r="20" spans="1:2" s="64" customFormat="1" ht="16.5" customHeight="1">
      <c r="A20" s="51"/>
      <c r="B20" s="114" t="s">
        <v>252</v>
      </c>
    </row>
    <row r="21" spans="1:2" s="64" customFormat="1" ht="16.5" customHeight="1">
      <c r="A21" s="51">
        <v>13</v>
      </c>
      <c r="B21" s="114" t="s">
        <v>963</v>
      </c>
    </row>
    <row r="22" spans="1:2" s="64" customFormat="1" ht="16.5" customHeight="1">
      <c r="A22" s="51"/>
      <c r="B22" s="114" t="s">
        <v>747</v>
      </c>
    </row>
    <row r="23" spans="1:2" s="64" customFormat="1" ht="16.5" customHeight="1">
      <c r="A23" s="51">
        <v>14</v>
      </c>
      <c r="B23" s="114" t="s">
        <v>14</v>
      </c>
    </row>
    <row r="24" spans="1:2" s="64" customFormat="1" ht="16.5" customHeight="1">
      <c r="A24" s="51"/>
      <c r="B24" s="114" t="s">
        <v>15</v>
      </c>
    </row>
    <row r="25" spans="1:2" s="64" customFormat="1" ht="16.5" customHeight="1">
      <c r="A25" s="51">
        <v>15</v>
      </c>
      <c r="B25" s="114" t="s">
        <v>16</v>
      </c>
    </row>
    <row r="26" spans="1:2" s="64" customFormat="1" ht="16.5" customHeight="1">
      <c r="A26" s="51"/>
      <c r="B26" s="114" t="s">
        <v>437</v>
      </c>
    </row>
    <row r="27" spans="1:2" s="64" customFormat="1" ht="16.5" customHeight="1">
      <c r="A27" s="51">
        <v>16</v>
      </c>
      <c r="B27" s="114" t="s">
        <v>482</v>
      </c>
    </row>
    <row r="28" spans="1:2" s="64" customFormat="1" ht="16.5" customHeight="1">
      <c r="A28" s="51"/>
      <c r="B28" s="114" t="s">
        <v>441</v>
      </c>
    </row>
    <row r="29" spans="1:2" s="64" customFormat="1" ht="16.5" customHeight="1">
      <c r="A29" s="51">
        <v>17</v>
      </c>
      <c r="B29" s="114" t="s">
        <v>957</v>
      </c>
    </row>
    <row r="30" spans="1:2" s="64" customFormat="1" ht="16.5" customHeight="1">
      <c r="A30" s="51">
        <v>18</v>
      </c>
      <c r="B30" s="114" t="s">
        <v>873</v>
      </c>
    </row>
    <row r="31" spans="1:2" s="64" customFormat="1" ht="16.5" customHeight="1">
      <c r="A31" s="51"/>
      <c r="B31" s="114"/>
    </row>
    <row r="32" spans="1:2" s="64" customFormat="1" ht="16.5" customHeight="1">
      <c r="A32" s="51"/>
      <c r="B32" s="114"/>
    </row>
    <row r="33" spans="1:2" s="64" customFormat="1" ht="68.25" customHeight="1">
      <c r="A33" s="114" t="s">
        <v>958</v>
      </c>
      <c r="B33" s="260"/>
    </row>
    <row r="34" s="64" customFormat="1" ht="16.5" customHeight="1">
      <c r="B34" s="114" t="s">
        <v>959</v>
      </c>
    </row>
    <row r="35" s="64" customFormat="1" ht="16.5" customHeight="1">
      <c r="B35" s="114" t="s">
        <v>460</v>
      </c>
    </row>
    <row r="36" spans="1:7" s="64" customFormat="1" ht="63.75" customHeight="1">
      <c r="A36" s="261" t="s">
        <v>887</v>
      </c>
      <c r="B36" s="262"/>
      <c r="C36" s="100"/>
      <c r="D36" s="100"/>
      <c r="E36" s="100"/>
      <c r="F36" s="100"/>
      <c r="G36" s="100"/>
    </row>
    <row r="37" spans="1:7" s="64" customFormat="1" ht="14.25" customHeight="1">
      <c r="A37" s="119"/>
      <c r="B37" s="404" t="s">
        <v>734</v>
      </c>
      <c r="C37" s="405" t="s">
        <v>551</v>
      </c>
      <c r="D37" s="406" t="s">
        <v>62</v>
      </c>
      <c r="E37" s="266" t="s">
        <v>69</v>
      </c>
      <c r="F37" s="266"/>
      <c r="G37" s="406"/>
    </row>
    <row r="38" spans="1:7" s="64" customFormat="1" ht="14.25" customHeight="1">
      <c r="A38" s="263"/>
      <c r="B38" s="120">
        <v>122946.39</v>
      </c>
      <c r="C38" s="264">
        <v>729925.44</v>
      </c>
      <c r="D38" s="265"/>
      <c r="E38" s="264">
        <v>664911.25</v>
      </c>
      <c r="F38" s="266"/>
      <c r="G38" s="265"/>
    </row>
    <row r="39" spans="1:2" s="64" customFormat="1" ht="14.25" customHeight="1">
      <c r="A39" s="267"/>
      <c r="B39" s="121" t="s">
        <v>183</v>
      </c>
    </row>
    <row r="40" spans="1:2" s="64" customFormat="1" ht="48.75" customHeight="1">
      <c r="A40" s="114" t="s">
        <v>781</v>
      </c>
      <c r="B40" s="260"/>
    </row>
    <row r="41" spans="1:2" s="64" customFormat="1" ht="16.5" customHeight="1">
      <c r="A41" s="60" t="s">
        <v>84</v>
      </c>
      <c r="B41" s="114" t="s">
        <v>137</v>
      </c>
    </row>
    <row r="42" spans="1:2" s="64" customFormat="1" ht="16.5" customHeight="1">
      <c r="A42" s="60"/>
      <c r="B42" s="114" t="s">
        <v>138</v>
      </c>
    </row>
    <row r="43" spans="1:2" s="64" customFormat="1" ht="16.5" customHeight="1">
      <c r="A43" s="60" t="s">
        <v>479</v>
      </c>
      <c r="B43" s="114" t="s">
        <v>139</v>
      </c>
    </row>
    <row r="44" spans="1:2" s="64" customFormat="1" ht="16.5" customHeight="1">
      <c r="A44" s="60"/>
      <c r="B44" s="114" t="s">
        <v>140</v>
      </c>
    </row>
    <row r="45" spans="1:2" s="64" customFormat="1" ht="50.25" customHeight="1">
      <c r="A45" s="114" t="s">
        <v>249</v>
      </c>
      <c r="B45" s="260"/>
    </row>
    <row r="46" spans="1:2" s="64" customFormat="1" ht="16.5" customHeight="1">
      <c r="A46" s="60" t="s">
        <v>250</v>
      </c>
      <c r="B46" s="114" t="s">
        <v>248</v>
      </c>
    </row>
    <row r="47" spans="1:2" s="64" customFormat="1" ht="16.5" customHeight="1">
      <c r="A47" s="60" t="s">
        <v>970</v>
      </c>
      <c r="B47" s="114" t="s">
        <v>269</v>
      </c>
    </row>
    <row r="48" spans="1:2" s="64" customFormat="1" ht="16.5" customHeight="1">
      <c r="A48" s="60"/>
      <c r="B48" s="114" t="s">
        <v>380</v>
      </c>
    </row>
    <row r="49" spans="1:2" s="64" customFormat="1" ht="16.5" customHeight="1">
      <c r="A49" s="60"/>
      <c r="B49" s="114" t="s">
        <v>265</v>
      </c>
    </row>
    <row r="50" spans="1:2" s="64" customFormat="1" ht="17.25" customHeight="1">
      <c r="A50" s="60"/>
      <c r="B50" s="114" t="s">
        <v>1072</v>
      </c>
    </row>
    <row r="51" spans="1:2" s="64" customFormat="1" ht="18">
      <c r="A51" s="60" t="s">
        <v>430</v>
      </c>
      <c r="B51" s="114" t="s">
        <v>429</v>
      </c>
    </row>
    <row r="52" spans="1:2" s="64" customFormat="1" ht="18">
      <c r="A52" s="60" t="s">
        <v>782</v>
      </c>
      <c r="B52" s="114" t="s">
        <v>239</v>
      </c>
    </row>
    <row r="53" spans="1:2" s="64" customFormat="1" ht="15">
      <c r="A53" s="239"/>
      <c r="B53" s="64" t="s">
        <v>240</v>
      </c>
    </row>
    <row r="54" s="64" customFormat="1" ht="15">
      <c r="A54" s="239"/>
    </row>
    <row r="55" s="64" customFormat="1" ht="15">
      <c r="A55" s="239"/>
    </row>
    <row r="56" s="64" customFormat="1" ht="15">
      <c r="A56" s="239"/>
    </row>
    <row r="57" s="64" customFormat="1" ht="15">
      <c r="A57" s="239"/>
    </row>
    <row r="58" s="64" customFormat="1" ht="15">
      <c r="A58" s="239"/>
    </row>
    <row r="59" spans="1:2" s="64" customFormat="1" ht="15">
      <c r="A59" s="239"/>
      <c r="B59" s="260"/>
    </row>
    <row r="60" spans="1:2" s="64" customFormat="1" ht="15">
      <c r="A60" s="239"/>
      <c r="B60" s="260"/>
    </row>
    <row r="61" spans="1:13" s="64" customFormat="1" ht="15">
      <c r="A61" s="268"/>
      <c r="B61" s="268"/>
      <c r="C61" s="268"/>
      <c r="D61" s="237"/>
      <c r="E61" s="237"/>
      <c r="F61" s="237"/>
      <c r="G61" s="237"/>
      <c r="H61" s="237"/>
      <c r="I61" s="237"/>
      <c r="J61" s="237"/>
      <c r="K61" s="237"/>
      <c r="L61" s="237"/>
      <c r="M61" s="237"/>
    </row>
    <row r="62" spans="1:13" s="64" customFormat="1" ht="15">
      <c r="A62" s="63" t="s">
        <v>925</v>
      </c>
      <c r="B62" s="238"/>
      <c r="C62" s="238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s="64" customFormat="1" ht="15">
      <c r="A63" s="63"/>
      <c r="B63" s="238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s="64" customFormat="1" ht="15">
      <c r="A64" s="63"/>
      <c r="B64" s="238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="64" customFormat="1" ht="15">
      <c r="B65" s="260"/>
    </row>
    <row r="66" s="64" customFormat="1" ht="15">
      <c r="B66" s="260"/>
    </row>
    <row r="67" s="64" customFormat="1" ht="15">
      <c r="B67" s="260"/>
    </row>
    <row r="68" s="64" customFormat="1" ht="15">
      <c r="B68" s="260"/>
    </row>
    <row r="69" s="64" customFormat="1" ht="15"/>
    <row r="70" s="64" customFormat="1" ht="15"/>
    <row r="71" s="64" customFormat="1" ht="15"/>
    <row r="72" s="64" customFormat="1" ht="15"/>
    <row r="73" s="64" customFormat="1" ht="15"/>
    <row r="74" s="64" customFormat="1" ht="15"/>
    <row r="75" s="64" customFormat="1" ht="15"/>
    <row r="76" s="64" customFormat="1" ht="15"/>
    <row r="77" s="64" customFormat="1" ht="15"/>
    <row r="78" s="64" customFormat="1" ht="15"/>
    <row r="79" s="64" customFormat="1" ht="15"/>
    <row r="80" s="64" customFormat="1" ht="15"/>
    <row r="81" s="64" customFormat="1" ht="15"/>
    <row r="82" s="64" customFormat="1" ht="15"/>
    <row r="83" s="64" customFormat="1" ht="15"/>
    <row r="84" s="64" customFormat="1" ht="15"/>
    <row r="85" s="64" customFormat="1" ht="15"/>
    <row r="86" s="64" customFormat="1" ht="15"/>
    <row r="87" s="64" customFormat="1" ht="15"/>
    <row r="88" s="64" customFormat="1" ht="15"/>
    <row r="89" s="64" customFormat="1" ht="15"/>
    <row r="90" s="64" customFormat="1" ht="15"/>
    <row r="91" s="64" customFormat="1" ht="15"/>
    <row r="92" s="64" customFormat="1" ht="15"/>
    <row r="93" s="64" customFormat="1" ht="15"/>
    <row r="94" s="64" customFormat="1" ht="15"/>
    <row r="95" s="64" customFormat="1" ht="15"/>
    <row r="96" s="64" customFormat="1" ht="15"/>
    <row r="97" s="64" customFormat="1" ht="15"/>
    <row r="98" s="64" customFormat="1" ht="15"/>
    <row r="99" s="64" customFormat="1" ht="15"/>
    <row r="100" s="64" customFormat="1" ht="15"/>
    <row r="101" s="64" customFormat="1" ht="15"/>
    <row r="102" s="64" customFormat="1" ht="15"/>
    <row r="103" s="64" customFormat="1" ht="15"/>
    <row r="104" s="64" customFormat="1" ht="15"/>
    <row r="105" s="64" customFormat="1" ht="15"/>
    <row r="106" s="64" customFormat="1" ht="15"/>
    <row r="107" s="64" customFormat="1" ht="15"/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  <row r="127" s="64" customFormat="1" ht="15"/>
    <row r="128" s="64" customFormat="1" ht="15"/>
    <row r="129" s="64" customFormat="1" ht="15"/>
    <row r="130" s="64" customFormat="1" ht="15"/>
    <row r="131" s="64" customFormat="1" ht="15"/>
    <row r="132" s="64" customFormat="1" ht="15"/>
    <row r="133" s="64" customFormat="1" ht="15"/>
    <row r="134" s="64" customFormat="1" ht="15"/>
    <row r="135" s="64" customFormat="1" ht="15"/>
    <row r="136" s="64" customFormat="1" ht="15"/>
    <row r="137" s="64" customFormat="1" ht="15"/>
    <row r="138" s="64" customFormat="1" ht="15"/>
    <row r="139" s="64" customFormat="1" ht="15"/>
    <row r="140" s="64" customFormat="1" ht="15"/>
    <row r="141" s="64" customFormat="1" ht="15"/>
    <row r="142" s="64" customFormat="1" ht="15"/>
    <row r="143" s="64" customFormat="1" ht="15"/>
    <row r="144" s="64" customFormat="1" ht="15"/>
    <row r="145" s="64" customFormat="1" ht="15"/>
    <row r="146" s="64" customFormat="1" ht="15"/>
    <row r="147" s="64" customFormat="1" ht="15"/>
    <row r="148" s="64" customFormat="1" ht="15"/>
    <row r="149" s="64" customFormat="1" ht="15"/>
    <row r="150" s="64" customFormat="1" ht="15"/>
    <row r="151" s="64" customFormat="1" ht="15"/>
    <row r="152" s="64" customFormat="1" ht="15"/>
    <row r="153" s="64" customFormat="1" ht="15"/>
    <row r="154" s="64" customFormat="1" ht="15"/>
    <row r="155" s="64" customFormat="1" ht="15"/>
    <row r="156" s="64" customFormat="1" ht="15"/>
    <row r="157" s="64" customFormat="1" ht="15"/>
    <row r="158" s="64" customFormat="1" ht="15"/>
    <row r="159" s="64" customFormat="1" ht="15"/>
    <row r="160" s="64" customFormat="1" ht="15"/>
    <row r="161" s="64" customFormat="1" ht="15"/>
    <row r="162" s="64" customFormat="1" ht="15"/>
    <row r="163" s="64" customFormat="1" ht="15"/>
    <row r="164" s="64" customFormat="1" ht="15"/>
    <row r="165" s="64" customFormat="1" ht="15"/>
    <row r="166" s="64" customFormat="1" ht="15"/>
    <row r="167" s="64" customFormat="1" ht="15"/>
    <row r="168" s="64" customFormat="1" ht="15"/>
    <row r="169" s="64" customFormat="1" ht="15"/>
    <row r="170" s="64" customFormat="1" ht="15"/>
    <row r="171" s="64" customFormat="1" ht="15"/>
    <row r="172" s="64" customFormat="1" ht="15"/>
    <row r="173" s="64" customFormat="1" ht="15"/>
    <row r="174" s="64" customFormat="1" ht="15"/>
    <row r="175" s="64" customFormat="1" ht="15"/>
    <row r="176" s="64" customFormat="1" ht="15"/>
    <row r="177" s="64" customFormat="1" ht="15"/>
    <row r="178" s="64" customFormat="1" ht="15"/>
    <row r="179" s="64" customFormat="1" ht="15"/>
    <row r="180" s="64" customFormat="1" ht="15"/>
    <row r="181" s="64" customFormat="1" ht="15"/>
    <row r="182" s="64" customFormat="1" ht="15"/>
    <row r="183" s="64" customFormat="1" ht="15"/>
    <row r="184" s="64" customFormat="1" ht="15"/>
    <row r="185" s="64" customFormat="1" ht="15"/>
    <row r="186" s="64" customFormat="1" ht="15"/>
    <row r="187" s="64" customFormat="1" ht="15"/>
    <row r="188" s="64" customFormat="1" ht="15"/>
    <row r="189" s="64" customFormat="1" ht="15"/>
    <row r="190" s="64" customFormat="1" ht="15"/>
    <row r="191" s="64" customFormat="1" ht="15"/>
    <row r="192" s="64" customFormat="1" ht="15"/>
    <row r="193" s="64" customFormat="1" ht="15"/>
    <row r="194" s="64" customFormat="1" ht="15"/>
    <row r="195" s="64" customFormat="1" ht="15"/>
    <row r="196" s="64" customFormat="1" ht="15"/>
    <row r="197" s="64" customFormat="1" ht="15"/>
    <row r="198" s="64" customFormat="1" ht="15"/>
    <row r="199" s="64" customFormat="1" ht="15"/>
    <row r="200" s="64" customFormat="1" ht="15"/>
    <row r="201" s="64" customFormat="1" ht="15"/>
    <row r="202" s="64" customFormat="1" ht="15"/>
    <row r="203" s="64" customFormat="1" ht="15"/>
    <row r="204" s="64" customFormat="1" ht="15"/>
    <row r="205" s="64" customFormat="1" ht="15"/>
    <row r="206" s="64" customFormat="1" ht="15"/>
    <row r="207" s="64" customFormat="1" ht="15"/>
    <row r="208" s="64" customFormat="1" ht="15"/>
    <row r="209" s="64" customFormat="1" ht="15"/>
    <row r="210" s="64" customFormat="1" ht="15"/>
    <row r="211" s="64" customFormat="1" ht="15"/>
    <row r="212" s="64" customFormat="1" ht="15"/>
    <row r="213" s="64" customFormat="1" ht="15"/>
    <row r="214" s="64" customFormat="1" ht="15"/>
    <row r="215" s="64" customFormat="1" ht="15"/>
    <row r="216" s="64" customFormat="1" ht="15"/>
    <row r="217" s="64" customFormat="1" ht="15"/>
    <row r="218" s="64" customFormat="1" ht="15"/>
    <row r="219" s="64" customFormat="1" ht="15"/>
    <row r="220" s="64" customFormat="1" ht="15"/>
    <row r="221" s="64" customFormat="1" ht="15"/>
    <row r="222" s="64" customFormat="1" ht="15"/>
    <row r="223" s="64" customFormat="1" ht="15"/>
    <row r="224" s="64" customFormat="1" ht="15"/>
    <row r="225" s="64" customFormat="1" ht="15"/>
    <row r="226" s="64" customFormat="1" ht="15"/>
    <row r="227" s="64" customFormat="1" ht="15"/>
    <row r="228" s="64" customFormat="1" ht="15"/>
    <row r="229" s="64" customFormat="1" ht="15"/>
    <row r="230" s="64" customFormat="1" ht="15"/>
    <row r="231" s="64" customFormat="1" ht="15"/>
    <row r="232" s="64" customFormat="1" ht="15"/>
    <row r="233" s="64" customFormat="1" ht="15"/>
    <row r="234" s="64" customFormat="1" ht="15"/>
    <row r="235" s="64" customFormat="1" ht="15"/>
    <row r="236" s="64" customFormat="1" ht="15"/>
    <row r="237" s="64" customFormat="1" ht="15"/>
    <row r="238" s="64" customFormat="1" ht="15"/>
    <row r="239" s="64" customFormat="1" ht="15"/>
    <row r="240" s="64" customFormat="1" ht="15"/>
    <row r="241" s="64" customFormat="1" ht="15"/>
    <row r="242" s="64" customFormat="1" ht="15"/>
    <row r="243" s="64" customFormat="1" ht="15"/>
    <row r="244" s="64" customFormat="1" ht="15"/>
    <row r="245" s="64" customFormat="1" ht="15"/>
    <row r="246" s="64" customFormat="1" ht="15"/>
    <row r="247" s="64" customFormat="1" ht="15"/>
    <row r="248" s="64" customFormat="1" ht="15"/>
    <row r="249" s="64" customFormat="1" ht="15"/>
    <row r="250" s="64" customFormat="1" ht="15"/>
    <row r="251" s="64" customFormat="1" ht="15"/>
    <row r="252" s="64" customFormat="1" ht="15"/>
    <row r="253" s="64" customFormat="1" ht="15"/>
    <row r="254" s="64" customFormat="1" ht="15"/>
    <row r="255" s="64" customFormat="1" ht="15"/>
    <row r="256" s="64" customFormat="1" ht="15"/>
    <row r="257" s="64" customFormat="1" ht="15"/>
    <row r="258" s="64" customFormat="1" ht="15"/>
    <row r="259" s="64" customFormat="1" ht="15"/>
    <row r="260" s="64" customFormat="1" ht="15"/>
    <row r="261" s="64" customFormat="1" ht="15"/>
    <row r="262" s="64" customFormat="1" ht="15"/>
    <row r="263" s="64" customFormat="1" ht="15"/>
    <row r="264" s="64" customFormat="1" ht="15"/>
    <row r="265" s="64" customFormat="1" ht="15"/>
    <row r="266" s="64" customFormat="1" ht="15"/>
    <row r="267" s="64" customFormat="1" ht="15"/>
    <row r="268" s="64" customFormat="1" ht="15"/>
    <row r="269" s="64" customFormat="1" ht="15"/>
    <row r="270" s="64" customFormat="1" ht="15"/>
    <row r="271" s="64" customFormat="1" ht="15"/>
    <row r="272" s="64" customFormat="1" ht="15"/>
    <row r="273" s="64" customFormat="1" ht="15"/>
    <row r="274" s="64" customFormat="1" ht="15"/>
    <row r="275" s="64" customFormat="1" ht="15"/>
    <row r="276" s="64" customFormat="1" ht="15"/>
    <row r="277" s="64" customFormat="1" ht="15"/>
    <row r="278" s="64" customFormat="1" ht="15"/>
    <row r="279" s="64" customFormat="1" ht="15"/>
    <row r="280" s="64" customFormat="1" ht="15"/>
    <row r="281" s="64" customFormat="1" ht="15"/>
    <row r="282" s="64" customFormat="1" ht="15"/>
    <row r="283" s="64" customFormat="1" ht="15"/>
    <row r="284" s="64" customFormat="1" ht="15"/>
    <row r="285" s="64" customFormat="1" ht="15"/>
    <row r="286" s="64" customFormat="1" ht="15"/>
    <row r="287" s="64" customFormat="1" ht="15"/>
    <row r="288" s="64" customFormat="1" ht="15"/>
    <row r="289" s="64" customFormat="1" ht="15"/>
    <row r="290" s="64" customFormat="1" ht="15"/>
    <row r="291" s="64" customFormat="1" ht="15"/>
    <row r="292" s="64" customFormat="1" ht="15"/>
    <row r="293" s="64" customFormat="1" ht="15"/>
    <row r="294" s="64" customFormat="1" ht="15"/>
    <row r="295" s="64" customFormat="1" ht="15"/>
    <row r="296" s="64" customFormat="1" ht="15"/>
    <row r="297" s="64" customFormat="1" ht="15"/>
    <row r="298" s="64" customFormat="1" ht="15"/>
    <row r="299" s="64" customFormat="1" ht="15"/>
    <row r="300" s="64" customFormat="1" ht="15"/>
    <row r="301" s="64" customFormat="1" ht="15"/>
    <row r="302" s="64" customFormat="1" ht="15"/>
    <row r="303" s="64" customFormat="1" ht="15"/>
    <row r="304" s="64" customFormat="1" ht="15"/>
    <row r="305" s="64" customFormat="1" ht="15"/>
    <row r="306" s="64" customFormat="1" ht="15"/>
    <row r="307" s="64" customFormat="1" ht="15"/>
    <row r="308" s="64" customFormat="1" ht="15"/>
    <row r="309" s="64" customFormat="1" ht="15"/>
    <row r="310" s="64" customFormat="1" ht="15"/>
    <row r="311" s="64" customFormat="1" ht="15"/>
    <row r="312" s="64" customFormat="1" ht="15"/>
    <row r="313" s="64" customFormat="1" ht="15"/>
    <row r="314" s="64" customFormat="1" ht="15"/>
    <row r="315" s="64" customFormat="1" ht="15"/>
    <row r="316" s="64" customFormat="1" ht="15"/>
    <row r="317" s="64" customFormat="1" ht="15"/>
    <row r="318" s="64" customFormat="1" ht="15"/>
    <row r="319" s="64" customFormat="1" ht="15"/>
    <row r="320" s="64" customFormat="1" ht="15"/>
    <row r="321" s="64" customFormat="1" ht="15"/>
    <row r="322" s="64" customFormat="1" ht="15"/>
    <row r="323" s="64" customFormat="1" ht="15"/>
    <row r="324" s="64" customFormat="1" ht="15"/>
    <row r="325" s="64" customFormat="1" ht="15"/>
    <row r="326" s="64" customFormat="1" ht="15"/>
    <row r="327" s="64" customFormat="1" ht="15"/>
    <row r="328" s="64" customFormat="1" ht="15"/>
    <row r="329" s="64" customFormat="1" ht="15"/>
    <row r="330" s="64" customFormat="1" ht="15"/>
    <row r="331" s="64" customFormat="1" ht="15"/>
    <row r="332" s="64" customFormat="1" ht="15"/>
    <row r="333" s="64" customFormat="1" ht="15"/>
    <row r="334" s="64" customFormat="1" ht="15"/>
    <row r="335" s="64" customFormat="1" ht="15"/>
    <row r="336" s="64" customFormat="1" ht="15"/>
    <row r="337" s="64" customFormat="1" ht="15"/>
    <row r="338" s="64" customFormat="1" ht="15"/>
    <row r="339" s="64" customFormat="1" ht="15"/>
    <row r="340" s="64" customFormat="1" ht="15"/>
    <row r="341" s="64" customFormat="1" ht="15"/>
    <row r="342" s="64" customFormat="1" ht="15"/>
    <row r="343" s="64" customFormat="1" ht="15"/>
    <row r="344" s="64" customFormat="1" ht="15"/>
    <row r="345" s="64" customFormat="1" ht="15"/>
    <row r="346" s="64" customFormat="1" ht="15"/>
    <row r="347" s="64" customFormat="1" ht="15"/>
    <row r="348" s="64" customFormat="1" ht="15"/>
    <row r="349" s="64" customFormat="1" ht="15"/>
    <row r="350" s="64" customFormat="1" ht="15"/>
    <row r="351" s="64" customFormat="1" ht="15"/>
    <row r="352" s="64" customFormat="1" ht="15"/>
    <row r="353" s="64" customFormat="1" ht="15"/>
    <row r="354" s="64" customFormat="1" ht="15"/>
    <row r="355" s="64" customFormat="1" ht="15"/>
    <row r="356" s="64" customFormat="1" ht="15"/>
    <row r="357" s="64" customFormat="1" ht="15"/>
    <row r="358" s="64" customFormat="1" ht="15"/>
    <row r="359" s="64" customFormat="1" ht="15"/>
    <row r="360" s="64" customFormat="1" ht="15"/>
    <row r="361" s="64" customFormat="1" ht="15"/>
    <row r="362" s="64" customFormat="1" ht="15"/>
    <row r="363" s="64" customFormat="1" ht="15"/>
    <row r="364" s="64" customFormat="1" ht="15"/>
    <row r="365" s="64" customFormat="1" ht="15"/>
    <row r="366" s="64" customFormat="1" ht="15"/>
    <row r="367" s="64" customFormat="1" ht="15"/>
    <row r="368" s="64" customFormat="1" ht="15"/>
    <row r="369" s="64" customFormat="1" ht="15"/>
    <row r="370" s="64" customFormat="1" ht="15"/>
    <row r="371" s="64" customFormat="1" ht="15"/>
    <row r="372" s="64" customFormat="1" ht="15"/>
    <row r="373" s="64" customFormat="1" ht="15"/>
    <row r="374" s="64" customFormat="1" ht="15"/>
    <row r="375" s="64" customFormat="1" ht="15"/>
    <row r="376" s="64" customFormat="1" ht="15"/>
    <row r="377" s="64" customFormat="1" ht="15"/>
    <row r="378" s="64" customFormat="1" ht="15"/>
    <row r="379" s="64" customFormat="1" ht="15"/>
    <row r="380" s="64" customFormat="1" ht="15"/>
    <row r="381" s="64" customFormat="1" ht="15"/>
    <row r="382" s="64" customFormat="1" ht="15"/>
    <row r="383" s="64" customFormat="1" ht="15"/>
    <row r="384" s="64" customFormat="1" ht="15"/>
    <row r="385" s="64" customFormat="1" ht="15"/>
    <row r="386" s="64" customFormat="1" ht="15"/>
    <row r="387" s="64" customFormat="1" ht="15"/>
    <row r="388" s="64" customFormat="1" ht="15"/>
    <row r="389" s="64" customFormat="1" ht="15"/>
    <row r="390" s="64" customFormat="1" ht="15"/>
    <row r="391" s="64" customFormat="1" ht="15"/>
    <row r="392" s="64" customFormat="1" ht="15"/>
    <row r="393" s="64" customFormat="1" ht="15"/>
    <row r="394" s="64" customFormat="1" ht="15"/>
    <row r="395" s="64" customFormat="1" ht="15"/>
    <row r="396" s="64" customFormat="1" ht="15"/>
    <row r="397" s="64" customFormat="1" ht="15"/>
    <row r="398" s="64" customFormat="1" ht="15"/>
    <row r="399" s="64" customFormat="1" ht="15"/>
    <row r="400" s="64" customFormat="1" ht="15"/>
    <row r="401" s="64" customFormat="1" ht="15"/>
    <row r="402" s="64" customFormat="1" ht="15"/>
    <row r="403" s="64" customFormat="1" ht="15"/>
    <row r="404" s="64" customFormat="1" ht="15"/>
    <row r="405" s="64" customFormat="1" ht="15"/>
    <row r="406" s="64" customFormat="1" ht="15"/>
    <row r="407" s="64" customFormat="1" ht="15"/>
    <row r="408" s="64" customFormat="1" ht="15"/>
    <row r="409" s="64" customFormat="1" ht="15"/>
    <row r="410" s="64" customFormat="1" ht="15"/>
    <row r="411" s="64" customFormat="1" ht="15"/>
    <row r="412" s="64" customFormat="1" ht="15"/>
    <row r="413" s="64" customFormat="1" ht="15"/>
    <row r="414" s="64" customFormat="1" ht="15"/>
    <row r="415" s="64" customFormat="1" ht="15"/>
    <row r="416" s="64" customFormat="1" ht="15"/>
    <row r="417" s="64" customFormat="1" ht="15"/>
    <row r="418" s="64" customFormat="1" ht="15"/>
    <row r="419" s="64" customFormat="1" ht="15"/>
    <row r="420" s="64" customFormat="1" ht="15"/>
    <row r="421" s="64" customFormat="1" ht="15"/>
    <row r="422" s="64" customFormat="1" ht="15"/>
    <row r="423" s="64" customFormat="1" ht="15"/>
    <row r="424" s="64" customFormat="1" ht="15"/>
    <row r="425" s="64" customFormat="1" ht="15"/>
    <row r="426" s="64" customFormat="1" ht="15"/>
    <row r="427" s="64" customFormat="1" ht="15"/>
    <row r="428" s="64" customFormat="1" ht="15"/>
    <row r="429" s="64" customFormat="1" ht="15"/>
    <row r="430" s="64" customFormat="1" ht="15"/>
    <row r="431" s="64" customFormat="1" ht="15"/>
    <row r="432" s="64" customFormat="1" ht="15"/>
    <row r="433" s="64" customFormat="1" ht="15"/>
    <row r="434" s="64" customFormat="1" ht="15"/>
    <row r="435" s="64" customFormat="1" ht="15"/>
    <row r="436" s="64" customFormat="1" ht="15"/>
    <row r="437" s="64" customFormat="1" ht="15"/>
    <row r="438" s="64" customFormat="1" ht="15"/>
    <row r="439" s="64" customFormat="1" ht="15"/>
    <row r="440" s="64" customFormat="1" ht="15"/>
    <row r="441" s="64" customFormat="1" ht="15"/>
    <row r="442" s="64" customFormat="1" ht="15"/>
    <row r="443" s="64" customFormat="1" ht="15"/>
    <row r="444" s="64" customFormat="1" ht="15"/>
    <row r="445" s="64" customFormat="1" ht="15"/>
    <row r="446" s="64" customFormat="1" ht="15"/>
    <row r="447" s="64" customFormat="1" ht="15"/>
    <row r="448" s="64" customFormat="1" ht="15"/>
    <row r="449" s="64" customFormat="1" ht="15"/>
    <row r="450" s="64" customFormat="1" ht="15"/>
    <row r="451" s="64" customFormat="1" ht="15"/>
    <row r="452" s="64" customFormat="1" ht="15"/>
    <row r="453" s="64" customFormat="1" ht="15"/>
    <row r="454" s="64" customFormat="1" ht="15"/>
    <row r="455" s="64" customFormat="1" ht="15"/>
    <row r="456" s="64" customFormat="1" ht="15"/>
    <row r="457" s="64" customFormat="1" ht="15"/>
    <row r="458" s="64" customFormat="1" ht="15"/>
    <row r="459" s="64" customFormat="1" ht="15"/>
    <row r="460" s="64" customFormat="1" ht="15"/>
    <row r="461" s="64" customFormat="1" ht="15"/>
    <row r="462" s="64" customFormat="1" ht="15"/>
    <row r="463" s="64" customFormat="1" ht="15"/>
    <row r="464" s="64" customFormat="1" ht="15"/>
    <row r="465" s="64" customFormat="1" ht="15"/>
    <row r="466" s="64" customFormat="1" ht="15"/>
    <row r="467" s="64" customFormat="1" ht="15"/>
    <row r="468" s="64" customFormat="1" ht="15"/>
    <row r="469" s="64" customFormat="1" ht="15"/>
    <row r="470" s="64" customFormat="1" ht="15"/>
    <row r="471" s="64" customFormat="1" ht="15"/>
    <row r="472" s="64" customFormat="1" ht="15"/>
    <row r="473" s="64" customFormat="1" ht="15"/>
    <row r="474" s="64" customFormat="1" ht="15"/>
    <row r="475" s="64" customFormat="1" ht="15"/>
    <row r="476" s="64" customFormat="1" ht="15"/>
    <row r="477" s="64" customFormat="1" ht="15"/>
    <row r="478" s="64" customFormat="1" ht="15"/>
    <row r="479" s="64" customFormat="1" ht="15"/>
    <row r="480" s="64" customFormat="1" ht="15"/>
    <row r="481" s="64" customFormat="1" ht="15"/>
    <row r="482" s="64" customFormat="1" ht="15"/>
    <row r="483" s="64" customFormat="1" ht="15"/>
    <row r="484" s="64" customFormat="1" ht="15"/>
    <row r="485" s="64" customFormat="1" ht="15"/>
    <row r="486" s="64" customFormat="1" ht="15"/>
    <row r="487" s="64" customFormat="1" ht="15"/>
    <row r="488" s="64" customFormat="1" ht="15"/>
    <row r="489" s="64" customFormat="1" ht="15"/>
    <row r="490" s="64" customFormat="1" ht="15"/>
    <row r="491" s="64" customFormat="1" ht="15"/>
    <row r="492" s="64" customFormat="1" ht="15"/>
    <row r="493" s="64" customFormat="1" ht="15"/>
    <row r="494" s="64" customFormat="1" ht="15"/>
    <row r="495" s="64" customFormat="1" ht="15"/>
    <row r="496" s="64" customFormat="1" ht="15"/>
    <row r="497" s="64" customFormat="1" ht="15"/>
    <row r="498" s="64" customFormat="1" ht="15"/>
    <row r="499" s="64" customFormat="1" ht="15"/>
    <row r="500" s="64" customFormat="1" ht="15"/>
    <row r="501" s="64" customFormat="1" ht="15"/>
    <row r="502" s="64" customFormat="1" ht="15"/>
    <row r="503" s="64" customFormat="1" ht="15"/>
    <row r="504" s="64" customFormat="1" ht="15"/>
    <row r="505" s="64" customFormat="1" ht="15"/>
    <row r="506" s="64" customFormat="1" ht="15"/>
    <row r="507" s="64" customFormat="1" ht="15"/>
    <row r="508" s="64" customFormat="1" ht="15"/>
    <row r="509" s="64" customFormat="1" ht="15"/>
    <row r="510" s="64" customFormat="1" ht="15"/>
    <row r="511" s="64" customFormat="1" ht="15"/>
    <row r="512" s="64" customFormat="1" ht="15"/>
    <row r="513" s="64" customFormat="1" ht="15"/>
    <row r="514" s="64" customFormat="1" ht="15"/>
    <row r="515" s="64" customFormat="1" ht="15"/>
    <row r="516" s="64" customFormat="1" ht="15"/>
    <row r="517" s="64" customFormat="1" ht="15"/>
    <row r="518" s="64" customFormat="1" ht="15"/>
    <row r="519" s="64" customFormat="1" ht="15"/>
    <row r="520" s="64" customFormat="1" ht="15"/>
    <row r="521" s="64" customFormat="1" ht="15"/>
    <row r="522" s="64" customFormat="1" ht="15"/>
    <row r="523" s="64" customFormat="1" ht="15"/>
    <row r="524" s="64" customFormat="1" ht="15"/>
    <row r="525" s="64" customFormat="1" ht="15"/>
    <row r="526" s="64" customFormat="1" ht="15"/>
    <row r="527" s="64" customFormat="1" ht="15"/>
    <row r="528" s="64" customFormat="1" ht="15"/>
    <row r="529" s="64" customFormat="1" ht="15"/>
    <row r="530" s="64" customFormat="1" ht="15"/>
    <row r="531" s="64" customFormat="1" ht="15"/>
    <row r="532" s="64" customFormat="1" ht="15"/>
    <row r="533" s="64" customFormat="1" ht="15"/>
    <row r="534" s="64" customFormat="1" ht="15"/>
    <row r="535" s="64" customFormat="1" ht="15"/>
    <row r="536" s="64" customFormat="1" ht="15"/>
    <row r="537" s="64" customFormat="1" ht="15"/>
    <row r="538" s="64" customFormat="1" ht="15"/>
    <row r="539" s="64" customFormat="1" ht="15"/>
    <row r="540" s="64" customFormat="1" ht="15"/>
    <row r="541" s="64" customFormat="1" ht="15"/>
    <row r="542" s="64" customFormat="1" ht="15"/>
    <row r="543" s="64" customFormat="1" ht="15"/>
    <row r="544" s="64" customFormat="1" ht="15"/>
    <row r="545" s="64" customFormat="1" ht="15"/>
    <row r="546" s="64" customFormat="1" ht="15"/>
    <row r="547" s="64" customFormat="1" ht="15"/>
    <row r="548" s="64" customFormat="1" ht="15"/>
    <row r="549" s="64" customFormat="1" ht="15"/>
    <row r="550" s="64" customFormat="1" ht="15"/>
    <row r="551" s="64" customFormat="1" ht="15"/>
    <row r="552" s="64" customFormat="1" ht="15"/>
    <row r="553" s="64" customFormat="1" ht="15"/>
    <row r="554" s="64" customFormat="1" ht="15"/>
    <row r="555" s="64" customFormat="1" ht="15"/>
    <row r="556" s="64" customFormat="1" ht="15"/>
    <row r="557" s="64" customFormat="1" ht="15"/>
    <row r="558" s="64" customFormat="1" ht="15"/>
    <row r="559" s="64" customFormat="1" ht="15"/>
    <row r="560" s="64" customFormat="1" ht="15"/>
    <row r="561" s="64" customFormat="1" ht="15"/>
    <row r="562" s="64" customFormat="1" ht="15"/>
    <row r="563" s="64" customFormat="1" ht="15"/>
    <row r="564" s="64" customFormat="1" ht="15"/>
    <row r="565" s="64" customFormat="1" ht="15"/>
    <row r="566" s="64" customFormat="1" ht="15"/>
    <row r="567" s="64" customFormat="1" ht="15"/>
    <row r="568" s="64" customFormat="1" ht="15"/>
    <row r="569" s="64" customFormat="1" ht="15"/>
    <row r="570" s="64" customFormat="1" ht="15"/>
    <row r="571" s="64" customFormat="1" ht="15"/>
    <row r="572" s="64" customFormat="1" ht="15"/>
    <row r="573" s="64" customFormat="1" ht="15"/>
    <row r="574" s="64" customFormat="1" ht="15"/>
    <row r="575" s="64" customFormat="1" ht="15"/>
    <row r="576" s="64" customFormat="1" ht="15"/>
    <row r="577" s="64" customFormat="1" ht="15"/>
    <row r="578" s="64" customFormat="1" ht="15"/>
    <row r="579" s="64" customFormat="1" ht="15"/>
    <row r="580" s="64" customFormat="1" ht="15"/>
    <row r="581" s="64" customFormat="1" ht="15"/>
    <row r="582" s="64" customFormat="1" ht="15"/>
    <row r="583" s="64" customFormat="1" ht="15"/>
    <row r="584" s="64" customFormat="1" ht="15"/>
    <row r="585" s="64" customFormat="1" ht="15"/>
    <row r="586" s="64" customFormat="1" ht="15"/>
    <row r="587" s="64" customFormat="1" ht="15"/>
    <row r="588" s="64" customFormat="1" ht="15"/>
    <row r="589" s="64" customFormat="1" ht="15"/>
    <row r="590" s="64" customFormat="1" ht="15"/>
    <row r="591" s="64" customFormat="1" ht="15"/>
    <row r="592" s="64" customFormat="1" ht="15"/>
    <row r="593" s="64" customFormat="1" ht="15"/>
    <row r="594" s="64" customFormat="1" ht="15"/>
    <row r="595" s="64" customFormat="1" ht="15"/>
    <row r="596" s="64" customFormat="1" ht="15"/>
    <row r="597" s="64" customFormat="1" ht="15"/>
    <row r="598" s="64" customFormat="1" ht="15"/>
    <row r="599" s="64" customFormat="1" ht="15"/>
    <row r="600" s="64" customFormat="1" ht="15"/>
    <row r="601" s="64" customFormat="1" ht="15"/>
    <row r="602" s="64" customFormat="1" ht="15"/>
    <row r="603" s="64" customFormat="1" ht="15"/>
    <row r="604" s="64" customFormat="1" ht="15"/>
    <row r="605" s="64" customFormat="1" ht="15"/>
    <row r="606" s="64" customFormat="1" ht="15"/>
    <row r="607" s="64" customFormat="1" ht="15"/>
    <row r="608" s="64" customFormat="1" ht="15"/>
    <row r="609" s="64" customFormat="1" ht="15"/>
    <row r="610" s="64" customFormat="1" ht="15"/>
    <row r="611" s="64" customFormat="1" ht="15"/>
    <row r="612" s="64" customFormat="1" ht="15"/>
    <row r="613" s="64" customFormat="1" ht="15"/>
    <row r="614" s="64" customFormat="1" ht="15"/>
    <row r="615" s="64" customFormat="1" ht="15"/>
    <row r="616" s="64" customFormat="1" ht="15"/>
    <row r="617" s="64" customFormat="1" ht="15"/>
    <row r="618" s="64" customFormat="1" ht="15"/>
    <row r="619" s="64" customFormat="1" ht="15"/>
    <row r="620" s="64" customFormat="1" ht="15"/>
    <row r="621" s="64" customFormat="1" ht="15"/>
    <row r="622" s="64" customFormat="1" ht="15"/>
    <row r="623" s="64" customFormat="1" ht="15"/>
    <row r="624" s="64" customFormat="1" ht="15"/>
    <row r="625" s="64" customFormat="1" ht="15"/>
    <row r="626" s="64" customFormat="1" ht="15"/>
    <row r="627" s="64" customFormat="1" ht="15"/>
    <row r="628" s="64" customFormat="1" ht="15"/>
    <row r="629" s="64" customFormat="1" ht="15"/>
    <row r="630" s="64" customFormat="1" ht="15"/>
    <row r="631" s="64" customFormat="1" ht="15"/>
    <row r="632" s="64" customFormat="1" ht="15"/>
    <row r="633" s="64" customFormat="1" ht="15"/>
    <row r="634" s="64" customFormat="1" ht="15"/>
    <row r="635" s="64" customFormat="1" ht="15"/>
    <row r="636" s="64" customFormat="1" ht="15"/>
    <row r="637" s="64" customFormat="1" ht="15"/>
    <row r="638" s="64" customFormat="1" ht="15"/>
    <row r="639" s="64" customFormat="1" ht="15"/>
    <row r="640" s="64" customFormat="1" ht="15"/>
    <row r="641" s="64" customFormat="1" ht="15"/>
    <row r="642" s="64" customFormat="1" ht="15"/>
    <row r="643" s="64" customFormat="1" ht="15"/>
    <row r="644" s="64" customFormat="1" ht="15"/>
    <row r="645" s="64" customFormat="1" ht="15"/>
    <row r="646" s="64" customFormat="1" ht="15"/>
    <row r="647" s="64" customFormat="1" ht="15"/>
    <row r="648" s="64" customFormat="1" ht="15"/>
    <row r="649" s="64" customFormat="1" ht="15"/>
    <row r="650" s="64" customFormat="1" ht="15"/>
    <row r="651" s="64" customFormat="1" ht="15"/>
    <row r="652" s="64" customFormat="1" ht="15"/>
    <row r="653" s="64" customFormat="1" ht="15"/>
    <row r="654" s="64" customFormat="1" ht="15"/>
    <row r="655" s="64" customFormat="1" ht="15"/>
    <row r="656" s="64" customFormat="1" ht="15"/>
    <row r="657" s="64" customFormat="1" ht="15"/>
    <row r="658" s="64" customFormat="1" ht="15"/>
    <row r="659" s="64" customFormat="1" ht="15"/>
    <row r="660" s="64" customFormat="1" ht="15"/>
    <row r="661" s="64" customFormat="1" ht="15"/>
    <row r="662" s="64" customFormat="1" ht="15"/>
    <row r="663" s="64" customFormat="1" ht="15"/>
    <row r="664" s="64" customFormat="1" ht="15"/>
    <row r="665" s="64" customFormat="1" ht="15"/>
    <row r="666" s="64" customFormat="1" ht="15"/>
    <row r="667" s="64" customFormat="1" ht="15"/>
    <row r="668" s="64" customFormat="1" ht="15"/>
    <row r="669" s="64" customFormat="1" ht="15"/>
    <row r="670" s="64" customFormat="1" ht="15"/>
    <row r="671" s="64" customFormat="1" ht="15"/>
    <row r="672" s="64" customFormat="1" ht="15"/>
    <row r="673" s="64" customFormat="1" ht="15"/>
    <row r="674" s="64" customFormat="1" ht="15"/>
    <row r="675" s="64" customFormat="1" ht="15"/>
    <row r="676" s="64" customFormat="1" ht="15"/>
    <row r="677" s="64" customFormat="1" ht="15"/>
    <row r="678" s="64" customFormat="1" ht="15"/>
    <row r="679" s="64" customFormat="1" ht="15"/>
    <row r="680" s="64" customFormat="1" ht="15"/>
    <row r="681" s="64" customFormat="1" ht="15"/>
    <row r="682" s="64" customFormat="1" ht="15"/>
    <row r="683" s="64" customFormat="1" ht="15"/>
    <row r="684" s="64" customFormat="1" ht="15"/>
    <row r="685" s="64" customFormat="1" ht="15"/>
    <row r="686" s="64" customFormat="1" ht="15"/>
    <row r="687" s="64" customFormat="1" ht="15"/>
    <row r="688" s="64" customFormat="1" ht="15"/>
    <row r="689" s="64" customFormat="1" ht="15"/>
    <row r="690" s="64" customFormat="1" ht="15"/>
    <row r="691" s="64" customFormat="1" ht="15"/>
    <row r="692" s="64" customFormat="1" ht="15"/>
    <row r="693" s="64" customFormat="1" ht="15"/>
    <row r="694" s="64" customFormat="1" ht="15"/>
    <row r="695" s="64" customFormat="1" ht="15"/>
    <row r="696" s="64" customFormat="1" ht="15"/>
    <row r="697" s="64" customFormat="1" ht="15"/>
    <row r="698" s="64" customFormat="1" ht="15"/>
    <row r="699" s="64" customFormat="1" ht="15"/>
    <row r="700" s="64" customFormat="1" ht="15"/>
    <row r="701" s="64" customFormat="1" ht="15"/>
    <row r="702" s="64" customFormat="1" ht="15"/>
    <row r="703" s="64" customFormat="1" ht="15"/>
    <row r="704" s="64" customFormat="1" ht="15"/>
    <row r="705" s="64" customFormat="1" ht="15"/>
    <row r="706" s="64" customFormat="1" ht="15"/>
    <row r="707" s="64" customFormat="1" ht="15"/>
    <row r="708" s="64" customFormat="1" ht="15"/>
    <row r="709" s="64" customFormat="1" ht="15"/>
    <row r="710" s="64" customFormat="1" ht="15"/>
    <row r="711" s="64" customFormat="1" ht="15"/>
    <row r="712" s="64" customFormat="1" ht="15"/>
    <row r="713" s="64" customFormat="1" ht="15"/>
    <row r="714" s="64" customFormat="1" ht="15"/>
    <row r="715" s="64" customFormat="1" ht="15"/>
    <row r="716" s="64" customFormat="1" ht="15"/>
    <row r="717" s="64" customFormat="1" ht="15"/>
    <row r="718" s="64" customFormat="1" ht="15"/>
    <row r="719" s="64" customFormat="1" ht="15"/>
    <row r="720" s="64" customFormat="1" ht="15"/>
    <row r="721" s="64" customFormat="1" ht="15"/>
    <row r="722" s="64" customFormat="1" ht="15"/>
    <row r="723" s="64" customFormat="1" ht="15"/>
    <row r="724" s="64" customFormat="1" ht="15"/>
    <row r="725" s="64" customFormat="1" ht="15"/>
    <row r="726" s="64" customFormat="1" ht="15"/>
    <row r="727" s="64" customFormat="1" ht="15"/>
    <row r="728" s="64" customFormat="1" ht="15"/>
    <row r="729" s="64" customFormat="1" ht="15"/>
    <row r="730" s="64" customFormat="1" ht="15"/>
    <row r="731" s="64" customFormat="1" ht="15"/>
  </sheetData>
  <printOptions/>
  <pageMargins left="0.75" right="0.75" top="1" bottom="1" header="0.5" footer="0.5"/>
  <pageSetup horizontalDpi="600" verticalDpi="600" orientation="portrait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E167"/>
  <sheetViews>
    <sheetView view="pageBreakPreview" zoomScale="75" zoomScaleNormal="72" zoomScaleSheetLayoutView="75" workbookViewId="0" topLeftCell="A1">
      <selection activeCell="B5" sqref="B5"/>
    </sheetView>
  </sheetViews>
  <sheetFormatPr defaultColWidth="8.88671875" defaultRowHeight="15"/>
  <cols>
    <col min="1" max="1" width="38.21484375" style="0" customWidth="1"/>
    <col min="2" max="2" width="15.21484375" style="0" customWidth="1"/>
    <col min="3" max="3" width="15.99609375" style="0" customWidth="1"/>
    <col min="4" max="4" width="13.3359375" style="0" customWidth="1"/>
    <col min="5" max="5" width="18.10546875" style="0" customWidth="1"/>
    <col min="6" max="16384" width="38.21484375" style="0" customWidth="1"/>
  </cols>
  <sheetData>
    <row r="1" ht="15">
      <c r="A1" s="356" t="s">
        <v>450</v>
      </c>
    </row>
    <row r="2" spans="1:5" ht="15">
      <c r="A2" s="356" t="s">
        <v>222</v>
      </c>
      <c r="B2" t="s">
        <v>223</v>
      </c>
      <c r="C2">
        <v>382197634.78</v>
      </c>
      <c r="D2">
        <v>1386000</v>
      </c>
      <c r="E2">
        <v>380811634.78</v>
      </c>
    </row>
    <row r="3" spans="1:5" ht="15">
      <c r="A3" s="356" t="s">
        <v>224</v>
      </c>
      <c r="B3" t="s">
        <v>225</v>
      </c>
      <c r="C3">
        <v>108883.02</v>
      </c>
      <c r="D3">
        <v>0</v>
      </c>
      <c r="E3">
        <v>108883.02</v>
      </c>
    </row>
    <row r="4" spans="1:5" ht="15">
      <c r="A4" s="356" t="s">
        <v>395</v>
      </c>
      <c r="B4" t="s">
        <v>396</v>
      </c>
      <c r="C4">
        <v>8681000</v>
      </c>
      <c r="D4">
        <v>0</v>
      </c>
      <c r="E4">
        <v>8681000</v>
      </c>
    </row>
    <row r="5" spans="1:5" ht="15">
      <c r="A5" s="356" t="s">
        <v>451</v>
      </c>
      <c r="B5" t="s">
        <v>1078</v>
      </c>
      <c r="C5">
        <v>1752611854.22</v>
      </c>
      <c r="D5">
        <v>0</v>
      </c>
      <c r="E5">
        <v>1752611854.22</v>
      </c>
    </row>
    <row r="6" spans="1:5" ht="15">
      <c r="A6" s="356" t="s">
        <v>226</v>
      </c>
      <c r="B6" t="s">
        <v>227</v>
      </c>
      <c r="C6">
        <v>1496000</v>
      </c>
      <c r="D6">
        <v>0</v>
      </c>
      <c r="E6">
        <v>1496000</v>
      </c>
    </row>
    <row r="7" spans="1:5" ht="15">
      <c r="A7" s="356" t="s">
        <v>246</v>
      </c>
      <c r="B7" t="s">
        <v>442</v>
      </c>
      <c r="C7">
        <v>5175000</v>
      </c>
      <c r="D7">
        <v>4448000</v>
      </c>
      <c r="E7">
        <v>727000</v>
      </c>
    </row>
    <row r="8" spans="1:5" ht="15">
      <c r="A8" s="356" t="s">
        <v>443</v>
      </c>
      <c r="B8" t="s">
        <v>444</v>
      </c>
      <c r="C8">
        <v>126000</v>
      </c>
      <c r="D8">
        <v>0</v>
      </c>
      <c r="E8">
        <v>126000</v>
      </c>
    </row>
    <row r="9" spans="1:5" ht="15">
      <c r="A9" s="356" t="s">
        <v>1095</v>
      </c>
      <c r="B9" t="s">
        <v>1096</v>
      </c>
      <c r="C9">
        <v>27561572.82</v>
      </c>
      <c r="D9">
        <v>0</v>
      </c>
      <c r="E9">
        <v>27561572.82</v>
      </c>
    </row>
    <row r="10" spans="1:5" ht="15">
      <c r="A10" s="356" t="s">
        <v>1097</v>
      </c>
      <c r="B10" t="s">
        <v>1098</v>
      </c>
      <c r="C10">
        <v>36519000</v>
      </c>
      <c r="D10">
        <v>0</v>
      </c>
      <c r="E10">
        <v>36519000</v>
      </c>
    </row>
    <row r="11" spans="1:5" ht="15">
      <c r="A11" s="356" t="s">
        <v>993</v>
      </c>
      <c r="B11" t="s">
        <v>994</v>
      </c>
      <c r="C11">
        <v>28657000</v>
      </c>
      <c r="D11">
        <v>467000</v>
      </c>
      <c r="E11">
        <v>28190000</v>
      </c>
    </row>
    <row r="12" spans="1:5" ht="15">
      <c r="A12" s="356" t="s">
        <v>45</v>
      </c>
      <c r="B12" t="s">
        <v>46</v>
      </c>
      <c r="C12">
        <v>264731000</v>
      </c>
      <c r="D12">
        <v>0</v>
      </c>
      <c r="E12">
        <v>264731000</v>
      </c>
    </row>
    <row r="13" spans="1:5" ht="15">
      <c r="A13" s="356" t="s">
        <v>47</v>
      </c>
      <c r="B13" t="s">
        <v>9</v>
      </c>
      <c r="C13">
        <v>744953000</v>
      </c>
      <c r="D13">
        <v>0</v>
      </c>
      <c r="E13">
        <v>744953000</v>
      </c>
    </row>
    <row r="14" spans="1:5" ht="15">
      <c r="A14" s="356" t="s">
        <v>197</v>
      </c>
      <c r="B14" t="s">
        <v>198</v>
      </c>
      <c r="C14">
        <v>1000000</v>
      </c>
      <c r="D14">
        <v>0</v>
      </c>
      <c r="E14">
        <v>1000000</v>
      </c>
    </row>
    <row r="15" spans="1:5" ht="15">
      <c r="A15" s="356" t="s">
        <v>199</v>
      </c>
      <c r="B15" t="s">
        <v>200</v>
      </c>
      <c r="C15">
        <v>742570000</v>
      </c>
      <c r="D15">
        <v>0</v>
      </c>
      <c r="E15">
        <v>742570000</v>
      </c>
    </row>
    <row r="16" spans="1:5" ht="15">
      <c r="A16" s="356" t="s">
        <v>201</v>
      </c>
      <c r="B16" t="s">
        <v>202</v>
      </c>
      <c r="C16">
        <v>61599283000</v>
      </c>
      <c r="D16">
        <v>0</v>
      </c>
      <c r="E16">
        <v>61599283000</v>
      </c>
    </row>
    <row r="17" spans="1:5" ht="15">
      <c r="A17" s="356" t="s">
        <v>203</v>
      </c>
      <c r="B17" t="s">
        <v>204</v>
      </c>
      <c r="C17">
        <v>23244336.82</v>
      </c>
      <c r="D17">
        <v>0</v>
      </c>
      <c r="E17">
        <v>23244336.82</v>
      </c>
    </row>
    <row r="18" spans="1:5" ht="15">
      <c r="A18" s="356" t="s">
        <v>205</v>
      </c>
      <c r="B18" t="s">
        <v>206</v>
      </c>
      <c r="C18">
        <v>4031000</v>
      </c>
      <c r="D18">
        <v>0</v>
      </c>
      <c r="E18">
        <v>4031000</v>
      </c>
    </row>
    <row r="19" spans="1:5" ht="15">
      <c r="A19" s="356" t="s">
        <v>1051</v>
      </c>
      <c r="B19" t="s">
        <v>1052</v>
      </c>
      <c r="C19">
        <v>380701748.34</v>
      </c>
      <c r="D19">
        <v>0</v>
      </c>
      <c r="E19">
        <v>380701748.34</v>
      </c>
    </row>
    <row r="20" spans="1:5" ht="15">
      <c r="A20" s="356" t="s">
        <v>196</v>
      </c>
      <c r="B20" t="s">
        <v>534</v>
      </c>
      <c r="C20">
        <v>1615000</v>
      </c>
      <c r="D20">
        <v>0</v>
      </c>
      <c r="E20">
        <v>1615000</v>
      </c>
    </row>
    <row r="21" ht="15">
      <c r="A21" s="356" t="s">
        <v>452</v>
      </c>
    </row>
    <row r="22" spans="1:5" ht="15">
      <c r="A22" s="356" t="s">
        <v>514</v>
      </c>
      <c r="B22" t="s">
        <v>515</v>
      </c>
      <c r="C22">
        <v>2088988864.52</v>
      </c>
      <c r="D22">
        <v>0</v>
      </c>
      <c r="E22">
        <v>2088988864.52</v>
      </c>
    </row>
    <row r="23" spans="1:5" ht="15">
      <c r="A23" s="356" t="s">
        <v>516</v>
      </c>
      <c r="B23" t="s">
        <v>517</v>
      </c>
      <c r="C23">
        <v>12465370000</v>
      </c>
      <c r="D23">
        <v>0</v>
      </c>
      <c r="E23">
        <v>12465370000</v>
      </c>
    </row>
    <row r="24" spans="1:5" ht="15">
      <c r="A24" s="356" t="s">
        <v>518</v>
      </c>
      <c r="B24" t="s">
        <v>519</v>
      </c>
      <c r="C24">
        <v>1104000</v>
      </c>
      <c r="D24">
        <v>0</v>
      </c>
      <c r="E24">
        <v>1104000</v>
      </c>
    </row>
    <row r="25" spans="1:5" ht="15">
      <c r="A25" s="356" t="s">
        <v>520</v>
      </c>
      <c r="B25" t="s">
        <v>521</v>
      </c>
      <c r="C25">
        <v>1503199000</v>
      </c>
      <c r="D25">
        <v>0</v>
      </c>
      <c r="E25">
        <v>1503199000</v>
      </c>
    </row>
    <row r="26" spans="1:5" ht="15">
      <c r="A26" s="356" t="s">
        <v>522</v>
      </c>
      <c r="B26" t="s">
        <v>541</v>
      </c>
      <c r="C26">
        <v>116348236.14</v>
      </c>
      <c r="D26">
        <v>0</v>
      </c>
      <c r="E26">
        <v>116348236.14</v>
      </c>
    </row>
    <row r="27" spans="1:5" ht="15">
      <c r="A27" s="356" t="s">
        <v>576</v>
      </c>
      <c r="B27" t="s">
        <v>577</v>
      </c>
      <c r="C27">
        <v>432173000</v>
      </c>
      <c r="D27">
        <v>0</v>
      </c>
      <c r="E27">
        <v>432173000</v>
      </c>
    </row>
    <row r="28" spans="1:5" ht="15">
      <c r="A28" s="356" t="s">
        <v>358</v>
      </c>
      <c r="B28" t="s">
        <v>359</v>
      </c>
      <c r="C28">
        <v>459769000</v>
      </c>
      <c r="D28">
        <v>0</v>
      </c>
      <c r="E28">
        <v>459769000</v>
      </c>
    </row>
    <row r="29" spans="1:5" ht="15">
      <c r="A29" s="356" t="s">
        <v>360</v>
      </c>
      <c r="B29" t="s">
        <v>361</v>
      </c>
      <c r="C29">
        <v>489046000</v>
      </c>
      <c r="D29">
        <v>0</v>
      </c>
      <c r="E29">
        <v>489046000</v>
      </c>
    </row>
    <row r="30" spans="1:5" ht="15">
      <c r="A30" s="356" t="s">
        <v>362</v>
      </c>
      <c r="B30" t="s">
        <v>363</v>
      </c>
      <c r="C30">
        <v>33709313050</v>
      </c>
      <c r="D30">
        <v>1480000000</v>
      </c>
      <c r="E30">
        <v>32229313050</v>
      </c>
    </row>
    <row r="31" spans="1:5" ht="15">
      <c r="A31" s="356" t="s">
        <v>364</v>
      </c>
      <c r="B31" t="s">
        <v>365</v>
      </c>
      <c r="C31">
        <v>759000</v>
      </c>
      <c r="D31">
        <v>0</v>
      </c>
      <c r="E31">
        <v>759000</v>
      </c>
    </row>
    <row r="32" spans="1:5" ht="15">
      <c r="A32" s="356" t="s">
        <v>267</v>
      </c>
      <c r="B32" t="s">
        <v>366</v>
      </c>
      <c r="C32">
        <v>1810000</v>
      </c>
      <c r="D32">
        <v>0</v>
      </c>
      <c r="E32">
        <v>1810000</v>
      </c>
    </row>
    <row r="33" spans="1:5" ht="15">
      <c r="A33" s="356" t="s">
        <v>1116</v>
      </c>
      <c r="B33" t="s">
        <v>1117</v>
      </c>
      <c r="C33">
        <v>19000</v>
      </c>
      <c r="D33">
        <v>0</v>
      </c>
      <c r="E33">
        <v>19000</v>
      </c>
    </row>
    <row r="34" spans="1:5" ht="15">
      <c r="A34" s="356" t="s">
        <v>453</v>
      </c>
      <c r="B34" t="s">
        <v>454</v>
      </c>
      <c r="C34">
        <v>6669917.33</v>
      </c>
      <c r="D34">
        <v>0</v>
      </c>
      <c r="E34">
        <v>6669917.33</v>
      </c>
    </row>
    <row r="35" spans="1:5" ht="15">
      <c r="A35" s="356" t="s">
        <v>74</v>
      </c>
      <c r="B35" t="s">
        <v>75</v>
      </c>
      <c r="C35">
        <v>74248000</v>
      </c>
      <c r="D35">
        <v>0</v>
      </c>
      <c r="E35">
        <v>74248000</v>
      </c>
    </row>
    <row r="36" spans="1:5" ht="15">
      <c r="A36" s="356" t="s">
        <v>327</v>
      </c>
      <c r="B36" t="s">
        <v>328</v>
      </c>
      <c r="C36">
        <v>28083682.69</v>
      </c>
      <c r="D36">
        <v>0</v>
      </c>
      <c r="E36">
        <v>28083682.69</v>
      </c>
    </row>
    <row r="37" spans="1:5" ht="15">
      <c r="A37" s="356" t="s">
        <v>329</v>
      </c>
      <c r="B37" t="s">
        <v>330</v>
      </c>
      <c r="C37">
        <v>2032000</v>
      </c>
      <c r="D37">
        <v>0</v>
      </c>
      <c r="E37">
        <v>2032000</v>
      </c>
    </row>
    <row r="38" spans="1:5" ht="15">
      <c r="A38" s="356" t="s">
        <v>331</v>
      </c>
      <c r="B38" t="s">
        <v>332</v>
      </c>
      <c r="C38">
        <v>739828362651.44</v>
      </c>
      <c r="D38">
        <v>110948750651.44</v>
      </c>
      <c r="E38">
        <v>628879612000</v>
      </c>
    </row>
    <row r="39" spans="1:5" ht="15">
      <c r="A39" s="356" t="s">
        <v>333</v>
      </c>
      <c r="B39" t="s">
        <v>334</v>
      </c>
      <c r="C39">
        <v>13195000</v>
      </c>
      <c r="D39">
        <v>0</v>
      </c>
      <c r="E39">
        <v>13195000</v>
      </c>
    </row>
    <row r="40" spans="1:5" ht="15">
      <c r="A40" s="356" t="s">
        <v>268</v>
      </c>
      <c r="B40" t="s">
        <v>335</v>
      </c>
      <c r="C40">
        <v>1270000</v>
      </c>
      <c r="D40">
        <v>0</v>
      </c>
      <c r="E40">
        <v>1270000</v>
      </c>
    </row>
    <row r="41" spans="1:5" ht="15">
      <c r="A41" s="356" t="s">
        <v>336</v>
      </c>
      <c r="B41" t="s">
        <v>337</v>
      </c>
      <c r="C41">
        <v>9900000</v>
      </c>
      <c r="D41">
        <v>0</v>
      </c>
      <c r="E41">
        <v>9900000</v>
      </c>
    </row>
    <row r="42" spans="1:5" ht="15">
      <c r="A42" s="356" t="s">
        <v>483</v>
      </c>
      <c r="B42" t="s">
        <v>484</v>
      </c>
      <c r="C42">
        <v>4005000</v>
      </c>
      <c r="D42">
        <v>0</v>
      </c>
      <c r="E42">
        <v>4005000</v>
      </c>
    </row>
    <row r="43" spans="1:5" ht="15">
      <c r="A43" s="356" t="s">
        <v>338</v>
      </c>
      <c r="B43" t="s">
        <v>455</v>
      </c>
      <c r="C43">
        <v>8000</v>
      </c>
      <c r="D43">
        <v>0</v>
      </c>
      <c r="E43">
        <v>8000</v>
      </c>
    </row>
    <row r="44" spans="1:5" ht="15">
      <c r="A44" s="356" t="s">
        <v>339</v>
      </c>
      <c r="B44" t="s">
        <v>340</v>
      </c>
      <c r="C44">
        <v>10154000</v>
      </c>
      <c r="D44">
        <v>0</v>
      </c>
      <c r="E44">
        <v>10154000</v>
      </c>
    </row>
    <row r="45" spans="1:5" ht="15">
      <c r="A45" s="356" t="s">
        <v>920</v>
      </c>
      <c r="B45" t="s">
        <v>921</v>
      </c>
      <c r="C45">
        <v>5742388.49</v>
      </c>
      <c r="D45">
        <v>0</v>
      </c>
      <c r="E45">
        <v>5742388.49</v>
      </c>
    </row>
    <row r="46" spans="1:5" ht="15">
      <c r="A46" s="356" t="s">
        <v>341</v>
      </c>
      <c r="B46" t="s">
        <v>342</v>
      </c>
      <c r="C46">
        <v>978459556.2</v>
      </c>
      <c r="D46">
        <v>0</v>
      </c>
      <c r="E46">
        <v>978459556.2</v>
      </c>
    </row>
    <row r="47" spans="1:5" ht="15">
      <c r="A47" s="356" t="s">
        <v>343</v>
      </c>
      <c r="B47" t="s">
        <v>344</v>
      </c>
      <c r="C47">
        <v>50901771204.76</v>
      </c>
      <c r="D47">
        <v>0</v>
      </c>
      <c r="E47">
        <v>50901771204.76</v>
      </c>
    </row>
    <row r="48" spans="1:5" ht="15">
      <c r="A48" s="356" t="s">
        <v>345</v>
      </c>
      <c r="B48" t="s">
        <v>346</v>
      </c>
      <c r="C48">
        <v>185528342480.73</v>
      </c>
      <c r="D48">
        <v>4822715000</v>
      </c>
      <c r="E48">
        <v>180705627480.73</v>
      </c>
    </row>
    <row r="49" spans="1:5" ht="15">
      <c r="A49" s="356" t="s">
        <v>851</v>
      </c>
      <c r="B49" t="s">
        <v>852</v>
      </c>
      <c r="C49">
        <v>710000</v>
      </c>
      <c r="D49">
        <v>0</v>
      </c>
      <c r="E49">
        <v>710000</v>
      </c>
    </row>
    <row r="50" spans="1:5" ht="15">
      <c r="A50" s="356" t="s">
        <v>853</v>
      </c>
      <c r="B50" t="s">
        <v>854</v>
      </c>
      <c r="C50">
        <v>3528000</v>
      </c>
      <c r="D50">
        <v>0</v>
      </c>
      <c r="E50">
        <v>3528000</v>
      </c>
    </row>
    <row r="51" spans="1:5" ht="15">
      <c r="A51" s="356" t="s">
        <v>855</v>
      </c>
      <c r="B51" t="s">
        <v>856</v>
      </c>
      <c r="C51">
        <v>2435000</v>
      </c>
      <c r="D51">
        <v>0</v>
      </c>
      <c r="E51">
        <v>2435000</v>
      </c>
    </row>
    <row r="52" spans="1:5" ht="15">
      <c r="A52" s="356" t="s">
        <v>505</v>
      </c>
      <c r="B52" t="s">
        <v>857</v>
      </c>
      <c r="C52">
        <v>98491236.89</v>
      </c>
      <c r="D52">
        <v>0</v>
      </c>
      <c r="E52">
        <v>98491236.89</v>
      </c>
    </row>
    <row r="53" spans="1:5" ht="15">
      <c r="A53" s="356" t="s">
        <v>933</v>
      </c>
      <c r="B53" t="s">
        <v>934</v>
      </c>
      <c r="C53">
        <v>3432194713.51</v>
      </c>
      <c r="D53">
        <v>0</v>
      </c>
      <c r="E53">
        <v>3432194713.51</v>
      </c>
    </row>
    <row r="54" spans="1:5" ht="15">
      <c r="A54" s="356" t="s">
        <v>348</v>
      </c>
      <c r="B54" t="s">
        <v>349</v>
      </c>
      <c r="C54">
        <v>7497000</v>
      </c>
      <c r="D54">
        <v>0</v>
      </c>
      <c r="E54">
        <v>7497000</v>
      </c>
    </row>
    <row r="55" spans="1:5" ht="15">
      <c r="A55" s="356" t="s">
        <v>350</v>
      </c>
      <c r="B55" t="s">
        <v>351</v>
      </c>
      <c r="C55">
        <v>12900690000</v>
      </c>
      <c r="D55">
        <v>954000000</v>
      </c>
      <c r="E55">
        <v>11946690000</v>
      </c>
    </row>
    <row r="56" spans="1:5" ht="15">
      <c r="A56" s="356" t="s">
        <v>352</v>
      </c>
      <c r="B56" t="s">
        <v>353</v>
      </c>
      <c r="C56">
        <v>29125366000</v>
      </c>
      <c r="D56">
        <v>0</v>
      </c>
      <c r="E56">
        <v>29125366000</v>
      </c>
    </row>
    <row r="57" spans="1:5" ht="15">
      <c r="A57" s="356" t="s">
        <v>354</v>
      </c>
      <c r="B57" t="s">
        <v>355</v>
      </c>
      <c r="C57">
        <v>571000</v>
      </c>
      <c r="D57">
        <v>0</v>
      </c>
      <c r="E57">
        <v>571000</v>
      </c>
    </row>
    <row r="58" spans="1:5" ht="15">
      <c r="A58" s="356" t="s">
        <v>493</v>
      </c>
      <c r="B58" t="s">
        <v>494</v>
      </c>
      <c r="C58">
        <v>42974000</v>
      </c>
      <c r="D58">
        <v>0</v>
      </c>
      <c r="E58">
        <v>42974000</v>
      </c>
    </row>
    <row r="59" spans="1:5" ht="15">
      <c r="A59" s="356" t="s">
        <v>472</v>
      </c>
      <c r="B59" t="s">
        <v>473</v>
      </c>
      <c r="C59">
        <v>994172000</v>
      </c>
      <c r="D59">
        <v>0</v>
      </c>
      <c r="E59">
        <v>994172000</v>
      </c>
    </row>
    <row r="60" spans="1:5" ht="15">
      <c r="A60" s="356" t="s">
        <v>119</v>
      </c>
      <c r="B60" t="s">
        <v>120</v>
      </c>
      <c r="C60">
        <v>310000</v>
      </c>
      <c r="D60">
        <v>0</v>
      </c>
      <c r="E60">
        <v>310000</v>
      </c>
    </row>
    <row r="61" spans="1:5" ht="15">
      <c r="A61" s="356" t="s">
        <v>1004</v>
      </c>
      <c r="B61" t="s">
        <v>1005</v>
      </c>
      <c r="C61">
        <v>12103822353.47</v>
      </c>
      <c r="D61">
        <v>0</v>
      </c>
      <c r="E61">
        <v>12103822353.47</v>
      </c>
    </row>
    <row r="62" spans="1:5" ht="15">
      <c r="A62" s="356" t="s">
        <v>1006</v>
      </c>
      <c r="B62" t="s">
        <v>765</v>
      </c>
      <c r="C62">
        <v>136493000</v>
      </c>
      <c r="D62">
        <v>12669000</v>
      </c>
      <c r="E62">
        <v>123824000</v>
      </c>
    </row>
    <row r="63" spans="1:5" ht="15">
      <c r="A63" s="356" t="s">
        <v>1053</v>
      </c>
      <c r="B63" t="s">
        <v>1054</v>
      </c>
      <c r="C63">
        <v>14000000</v>
      </c>
      <c r="D63">
        <v>0</v>
      </c>
      <c r="E63">
        <v>14000000</v>
      </c>
    </row>
    <row r="64" spans="1:5" ht="15">
      <c r="A64" s="356" t="s">
        <v>107</v>
      </c>
      <c r="B64" t="s">
        <v>108</v>
      </c>
      <c r="C64">
        <v>1911954000</v>
      </c>
      <c r="D64">
        <v>0</v>
      </c>
      <c r="E64">
        <v>1911954000</v>
      </c>
    </row>
    <row r="65" spans="1:5" ht="15">
      <c r="A65" s="356" t="s">
        <v>109</v>
      </c>
      <c r="B65" t="s">
        <v>110</v>
      </c>
      <c r="C65">
        <v>467194000</v>
      </c>
      <c r="D65">
        <v>0</v>
      </c>
      <c r="E65">
        <v>467194000</v>
      </c>
    </row>
    <row r="66" spans="1:5" ht="15">
      <c r="A66" s="356" t="s">
        <v>111</v>
      </c>
      <c r="B66" t="s">
        <v>112</v>
      </c>
      <c r="C66">
        <v>193669233000</v>
      </c>
      <c r="D66">
        <v>227000</v>
      </c>
      <c r="E66">
        <v>193669006000</v>
      </c>
    </row>
    <row r="67" spans="1:5" ht="15">
      <c r="A67" s="356" t="s">
        <v>113</v>
      </c>
      <c r="B67" t="s">
        <v>114</v>
      </c>
      <c r="C67">
        <v>286183798000</v>
      </c>
      <c r="D67">
        <v>4095214000</v>
      </c>
      <c r="E67">
        <v>282088584000</v>
      </c>
    </row>
    <row r="68" spans="1:5" ht="15">
      <c r="A68" s="356" t="s">
        <v>1079</v>
      </c>
      <c r="B68" t="s">
        <v>1080</v>
      </c>
      <c r="C68">
        <v>35835000</v>
      </c>
      <c r="D68">
        <v>0</v>
      </c>
      <c r="E68">
        <v>35835000</v>
      </c>
    </row>
    <row r="69" spans="1:5" ht="15">
      <c r="A69" s="356" t="s">
        <v>115</v>
      </c>
      <c r="B69" t="s">
        <v>116</v>
      </c>
      <c r="C69">
        <v>4553000</v>
      </c>
      <c r="D69">
        <v>0</v>
      </c>
      <c r="E69">
        <v>4553000</v>
      </c>
    </row>
    <row r="70" spans="1:5" ht="15">
      <c r="A70" s="356" t="s">
        <v>1081</v>
      </c>
      <c r="B70" t="s">
        <v>1082</v>
      </c>
      <c r="C70">
        <v>80000</v>
      </c>
      <c r="D70">
        <v>0</v>
      </c>
      <c r="E70">
        <v>80000</v>
      </c>
    </row>
    <row r="71" spans="1:5" ht="15">
      <c r="A71" s="356" t="s">
        <v>375</v>
      </c>
      <c r="B71" t="s">
        <v>117</v>
      </c>
      <c r="C71">
        <v>23069893000</v>
      </c>
      <c r="D71">
        <v>0</v>
      </c>
      <c r="E71">
        <v>23069893000</v>
      </c>
    </row>
    <row r="72" spans="1:5" ht="15">
      <c r="A72" s="356" t="s">
        <v>1012</v>
      </c>
      <c r="B72" t="s">
        <v>1013</v>
      </c>
      <c r="C72">
        <v>1598785486000</v>
      </c>
      <c r="D72">
        <v>1346000</v>
      </c>
      <c r="E72">
        <v>1598784140000</v>
      </c>
    </row>
    <row r="73" spans="1:5" ht="15">
      <c r="A73" s="356" t="s">
        <v>1014</v>
      </c>
      <c r="B73" t="s">
        <v>1015</v>
      </c>
      <c r="C73">
        <v>27966378000</v>
      </c>
      <c r="D73">
        <v>3147504000</v>
      </c>
      <c r="E73">
        <v>24818874000</v>
      </c>
    </row>
    <row r="74" spans="1:5" ht="15">
      <c r="A74" s="356" t="s">
        <v>1016</v>
      </c>
      <c r="B74" t="s">
        <v>1017</v>
      </c>
      <c r="C74">
        <v>13417885000</v>
      </c>
      <c r="D74">
        <v>0</v>
      </c>
      <c r="E74">
        <v>13417885000</v>
      </c>
    </row>
    <row r="75" spans="1:5" ht="15">
      <c r="A75" s="356" t="s">
        <v>1018</v>
      </c>
      <c r="B75" t="s">
        <v>1019</v>
      </c>
      <c r="C75">
        <v>3074889000</v>
      </c>
      <c r="D75">
        <v>0</v>
      </c>
      <c r="E75">
        <v>3074889000</v>
      </c>
    </row>
    <row r="76" spans="1:5" ht="15">
      <c r="A76" s="356" t="s">
        <v>523</v>
      </c>
      <c r="B76" t="s">
        <v>524</v>
      </c>
      <c r="C76">
        <v>64445000</v>
      </c>
      <c r="D76">
        <v>0</v>
      </c>
      <c r="E76">
        <v>64445000</v>
      </c>
    </row>
    <row r="77" spans="1:5" ht="15">
      <c r="A77" s="356" t="s">
        <v>525</v>
      </c>
      <c r="B77" t="s">
        <v>1045</v>
      </c>
      <c r="C77">
        <v>4614000</v>
      </c>
      <c r="D77">
        <v>0</v>
      </c>
      <c r="E77">
        <v>4614000</v>
      </c>
    </row>
    <row r="78" spans="1:5" ht="15">
      <c r="A78" s="356" t="s">
        <v>1046</v>
      </c>
      <c r="B78" t="s">
        <v>1047</v>
      </c>
      <c r="C78">
        <v>1000</v>
      </c>
      <c r="D78">
        <v>0</v>
      </c>
      <c r="E78">
        <v>1000</v>
      </c>
    </row>
    <row r="79" spans="1:5" ht="15">
      <c r="A79" s="356" t="s">
        <v>562</v>
      </c>
      <c r="B79" t="s">
        <v>563</v>
      </c>
      <c r="C79">
        <v>829073.17</v>
      </c>
      <c r="D79">
        <v>0</v>
      </c>
      <c r="E79">
        <v>829073.17</v>
      </c>
    </row>
    <row r="80" spans="1:5" ht="15">
      <c r="A80" s="356" t="s">
        <v>555</v>
      </c>
      <c r="B80" t="s">
        <v>556</v>
      </c>
      <c r="C80">
        <v>1299000</v>
      </c>
      <c r="D80">
        <v>0</v>
      </c>
      <c r="E80">
        <v>1299000</v>
      </c>
    </row>
    <row r="81" spans="1:5" ht="15">
      <c r="A81" s="356" t="s">
        <v>557</v>
      </c>
      <c r="B81" t="s">
        <v>558</v>
      </c>
      <c r="C81">
        <v>7831042000</v>
      </c>
      <c r="D81">
        <v>0</v>
      </c>
      <c r="E81">
        <v>7831042000</v>
      </c>
    </row>
    <row r="82" spans="1:5" ht="15">
      <c r="A82" s="356" t="s">
        <v>559</v>
      </c>
      <c r="B82" t="s">
        <v>560</v>
      </c>
      <c r="C82">
        <v>2525302000</v>
      </c>
      <c r="D82">
        <v>0</v>
      </c>
      <c r="E82">
        <v>2525302000</v>
      </c>
    </row>
    <row r="83" spans="1:5" ht="15">
      <c r="A83" s="356" t="s">
        <v>715</v>
      </c>
      <c r="B83" t="s">
        <v>716</v>
      </c>
      <c r="C83">
        <v>54759000</v>
      </c>
      <c r="D83">
        <v>0</v>
      </c>
      <c r="E83">
        <v>54759000</v>
      </c>
    </row>
    <row r="84" spans="1:5" ht="15">
      <c r="A84" s="356" t="s">
        <v>376</v>
      </c>
      <c r="B84" t="s">
        <v>717</v>
      </c>
      <c r="C84">
        <v>2277479000</v>
      </c>
      <c r="D84">
        <v>0</v>
      </c>
      <c r="E84">
        <v>2277479000</v>
      </c>
    </row>
    <row r="85" spans="1:5" ht="15">
      <c r="A85" s="356" t="s">
        <v>718</v>
      </c>
      <c r="B85" t="s">
        <v>719</v>
      </c>
      <c r="C85">
        <v>10829873000</v>
      </c>
      <c r="D85">
        <v>0</v>
      </c>
      <c r="E85">
        <v>10829873000</v>
      </c>
    </row>
    <row r="86" spans="1:5" ht="15">
      <c r="A86" s="356" t="s">
        <v>456</v>
      </c>
      <c r="B86" t="s">
        <v>457</v>
      </c>
      <c r="C86">
        <v>12208497.86</v>
      </c>
      <c r="D86">
        <v>0</v>
      </c>
      <c r="E86">
        <v>12208497.86</v>
      </c>
    </row>
    <row r="87" spans="1:5" ht="15">
      <c r="A87" s="356" t="s">
        <v>720</v>
      </c>
      <c r="B87" t="s">
        <v>721</v>
      </c>
      <c r="C87">
        <v>348277000</v>
      </c>
      <c r="D87">
        <v>0</v>
      </c>
      <c r="E87">
        <v>348277000</v>
      </c>
    </row>
    <row r="88" spans="1:5" ht="15">
      <c r="A88" s="356" t="s">
        <v>415</v>
      </c>
      <c r="B88" t="s">
        <v>416</v>
      </c>
      <c r="C88">
        <v>12201000</v>
      </c>
      <c r="D88">
        <v>0</v>
      </c>
      <c r="E88">
        <v>12201000</v>
      </c>
    </row>
    <row r="89" spans="1:5" ht="15">
      <c r="A89" s="356" t="s">
        <v>356</v>
      </c>
      <c r="B89" t="s">
        <v>357</v>
      </c>
      <c r="C89">
        <v>144000</v>
      </c>
      <c r="D89">
        <v>0</v>
      </c>
      <c r="E89">
        <v>144000</v>
      </c>
    </row>
    <row r="90" spans="1:5" ht="15">
      <c r="A90" s="356" t="s">
        <v>532</v>
      </c>
      <c r="B90" t="s">
        <v>533</v>
      </c>
      <c r="C90">
        <v>5019000</v>
      </c>
      <c r="D90">
        <v>0</v>
      </c>
      <c r="E90">
        <v>5019000</v>
      </c>
    </row>
    <row r="91" spans="1:5" ht="15">
      <c r="A91" s="356" t="s">
        <v>253</v>
      </c>
      <c r="B91" t="s">
        <v>254</v>
      </c>
      <c r="C91">
        <v>37267000</v>
      </c>
      <c r="D91">
        <v>0</v>
      </c>
      <c r="E91">
        <v>37267000</v>
      </c>
    </row>
    <row r="92" spans="1:5" ht="15">
      <c r="A92" s="356" t="s">
        <v>388</v>
      </c>
      <c r="B92" t="s">
        <v>389</v>
      </c>
      <c r="C92">
        <v>39185000</v>
      </c>
      <c r="D92">
        <v>176000</v>
      </c>
      <c r="E92">
        <v>39009000</v>
      </c>
    </row>
    <row r="93" spans="1:5" ht="15">
      <c r="A93" s="356" t="s">
        <v>390</v>
      </c>
      <c r="B93" t="s">
        <v>391</v>
      </c>
      <c r="C93">
        <v>11409000</v>
      </c>
      <c r="D93">
        <v>150000</v>
      </c>
      <c r="E93">
        <v>11259000</v>
      </c>
    </row>
    <row r="94" spans="1:5" ht="15">
      <c r="A94" s="356" t="s">
        <v>578</v>
      </c>
      <c r="B94" t="s">
        <v>579</v>
      </c>
      <c r="C94">
        <v>202732000</v>
      </c>
      <c r="D94">
        <v>0</v>
      </c>
      <c r="E94">
        <v>202732000</v>
      </c>
    </row>
    <row r="95" spans="1:5" ht="15">
      <c r="A95" s="356" t="s">
        <v>580</v>
      </c>
      <c r="B95" t="s">
        <v>581</v>
      </c>
      <c r="C95">
        <v>455280000</v>
      </c>
      <c r="D95">
        <v>0</v>
      </c>
      <c r="E95">
        <v>455280000</v>
      </c>
    </row>
    <row r="96" spans="1:5" ht="15">
      <c r="A96" s="356" t="s">
        <v>582</v>
      </c>
      <c r="B96" t="s">
        <v>583</v>
      </c>
      <c r="C96">
        <v>7492000</v>
      </c>
      <c r="D96">
        <v>90000</v>
      </c>
      <c r="E96">
        <v>7402000</v>
      </c>
    </row>
    <row r="97" spans="1:5" ht="15">
      <c r="A97" s="356" t="s">
        <v>584</v>
      </c>
      <c r="B97" t="s">
        <v>585</v>
      </c>
      <c r="C97">
        <v>5226000</v>
      </c>
      <c r="D97">
        <v>0</v>
      </c>
      <c r="E97">
        <v>5226000</v>
      </c>
    </row>
    <row r="98" spans="1:5" ht="15">
      <c r="A98" s="356" t="s">
        <v>586</v>
      </c>
      <c r="B98" t="s">
        <v>587</v>
      </c>
      <c r="C98">
        <v>2400753000</v>
      </c>
      <c r="D98">
        <v>0</v>
      </c>
      <c r="E98">
        <v>2400753000</v>
      </c>
    </row>
    <row r="99" spans="1:5" ht="15">
      <c r="A99" s="356" t="s">
        <v>588</v>
      </c>
      <c r="B99" t="s">
        <v>589</v>
      </c>
      <c r="C99">
        <v>6770000</v>
      </c>
      <c r="D99">
        <v>0</v>
      </c>
      <c r="E99">
        <v>6770000</v>
      </c>
    </row>
    <row r="100" spans="1:5" ht="15">
      <c r="A100" s="356" t="s">
        <v>590</v>
      </c>
      <c r="B100" t="s">
        <v>591</v>
      </c>
      <c r="C100">
        <v>35992000</v>
      </c>
      <c r="D100">
        <v>0</v>
      </c>
      <c r="E100">
        <v>35992000</v>
      </c>
    </row>
    <row r="101" spans="1:5" ht="15">
      <c r="A101" s="356" t="s">
        <v>592</v>
      </c>
      <c r="B101" t="s">
        <v>593</v>
      </c>
      <c r="C101">
        <v>11323000</v>
      </c>
      <c r="D101">
        <v>0</v>
      </c>
      <c r="E101">
        <v>11323000</v>
      </c>
    </row>
    <row r="102" spans="1:5" ht="15">
      <c r="A102" s="356" t="s">
        <v>367</v>
      </c>
      <c r="B102" t="s">
        <v>368</v>
      </c>
      <c r="C102">
        <v>9872579.59</v>
      </c>
      <c r="D102">
        <v>0</v>
      </c>
      <c r="E102">
        <v>9872579.59</v>
      </c>
    </row>
    <row r="103" spans="1:5" ht="15">
      <c r="A103" s="356" t="s">
        <v>1055</v>
      </c>
      <c r="B103" t="s">
        <v>1056</v>
      </c>
      <c r="C103">
        <v>2500000</v>
      </c>
      <c r="D103">
        <v>0</v>
      </c>
      <c r="E103">
        <v>2500000</v>
      </c>
    </row>
    <row r="104" spans="1:5" ht="15">
      <c r="A104" s="356" t="s">
        <v>497</v>
      </c>
      <c r="B104" t="s">
        <v>498</v>
      </c>
      <c r="C104">
        <v>28166000</v>
      </c>
      <c r="D104">
        <v>0</v>
      </c>
      <c r="E104">
        <v>28166000</v>
      </c>
    </row>
    <row r="105" spans="1:5" ht="15">
      <c r="A105" s="356" t="s">
        <v>922</v>
      </c>
      <c r="B105" t="s">
        <v>923</v>
      </c>
      <c r="C105">
        <v>11100000</v>
      </c>
      <c r="D105">
        <v>0</v>
      </c>
      <c r="E105">
        <v>11100000</v>
      </c>
    </row>
    <row r="106" spans="1:5" ht="15">
      <c r="A106" s="356" t="s">
        <v>192</v>
      </c>
      <c r="B106" t="s">
        <v>193</v>
      </c>
      <c r="C106">
        <v>6386544000</v>
      </c>
      <c r="D106">
        <v>0</v>
      </c>
      <c r="E106">
        <v>6386544000</v>
      </c>
    </row>
    <row r="107" spans="1:5" ht="15">
      <c r="A107" s="356" t="s">
        <v>194</v>
      </c>
      <c r="B107" t="s">
        <v>195</v>
      </c>
      <c r="C107">
        <v>4375000</v>
      </c>
      <c r="D107">
        <v>0</v>
      </c>
      <c r="E107">
        <v>4375000</v>
      </c>
    </row>
    <row r="108" spans="1:5" ht="15">
      <c r="A108" s="356" t="s">
        <v>773</v>
      </c>
      <c r="B108" t="s">
        <v>774</v>
      </c>
      <c r="C108">
        <v>1063000</v>
      </c>
      <c r="D108">
        <v>0</v>
      </c>
      <c r="E108">
        <v>1063000</v>
      </c>
    </row>
    <row r="109" spans="1:5" ht="15">
      <c r="A109" s="356" t="s">
        <v>775</v>
      </c>
      <c r="B109" t="s">
        <v>776</v>
      </c>
      <c r="C109">
        <v>19541000</v>
      </c>
      <c r="D109">
        <v>0</v>
      </c>
      <c r="E109">
        <v>19541000</v>
      </c>
    </row>
    <row r="110" spans="1:5" ht="15">
      <c r="A110" s="356" t="s">
        <v>458</v>
      </c>
      <c r="B110" t="s">
        <v>459</v>
      </c>
      <c r="C110">
        <v>1354000</v>
      </c>
      <c r="D110">
        <v>0</v>
      </c>
      <c r="E110">
        <v>1354000</v>
      </c>
    </row>
    <row r="111" spans="1:5" ht="15">
      <c r="A111" s="356" t="s">
        <v>777</v>
      </c>
      <c r="B111" t="s">
        <v>778</v>
      </c>
      <c r="C111">
        <v>11481000</v>
      </c>
      <c r="D111">
        <v>0</v>
      </c>
      <c r="E111">
        <v>11481000</v>
      </c>
    </row>
    <row r="112" spans="1:5" ht="15">
      <c r="A112" s="356" t="s">
        <v>779</v>
      </c>
      <c r="B112" t="s">
        <v>780</v>
      </c>
      <c r="C112">
        <v>18552069000</v>
      </c>
      <c r="D112">
        <v>7694260000</v>
      </c>
      <c r="E112">
        <v>10857809000</v>
      </c>
    </row>
    <row r="113" spans="1:5" ht="15">
      <c r="A113" s="356" t="s">
        <v>902</v>
      </c>
      <c r="B113" t="s">
        <v>903</v>
      </c>
      <c r="C113">
        <v>412991000</v>
      </c>
      <c r="D113">
        <v>0</v>
      </c>
      <c r="E113">
        <v>412991000</v>
      </c>
    </row>
    <row r="114" spans="1:5" ht="15">
      <c r="A114" s="356" t="s">
        <v>594</v>
      </c>
      <c r="B114" t="s">
        <v>595</v>
      </c>
      <c r="C114">
        <v>65832000</v>
      </c>
      <c r="D114">
        <v>0</v>
      </c>
      <c r="E114">
        <v>65832000</v>
      </c>
    </row>
    <row r="115" spans="1:5" ht="15">
      <c r="A115" s="356" t="s">
        <v>187</v>
      </c>
      <c r="B115" t="s">
        <v>188</v>
      </c>
      <c r="C115">
        <v>180398000</v>
      </c>
      <c r="D115">
        <v>0</v>
      </c>
      <c r="E115">
        <v>180398000</v>
      </c>
    </row>
    <row r="116" spans="1:5" ht="15">
      <c r="A116" s="356" t="s">
        <v>189</v>
      </c>
      <c r="B116" t="s">
        <v>190</v>
      </c>
      <c r="C116">
        <v>34739250605</v>
      </c>
      <c r="D116">
        <v>3328661000</v>
      </c>
      <c r="E116">
        <v>31410589605</v>
      </c>
    </row>
    <row r="117" spans="1:5" ht="15">
      <c r="A117" s="356" t="s">
        <v>899</v>
      </c>
      <c r="B117" t="s">
        <v>191</v>
      </c>
      <c r="C117">
        <v>767803000</v>
      </c>
      <c r="D117">
        <v>346000</v>
      </c>
      <c r="E117">
        <v>767457000</v>
      </c>
    </row>
    <row r="118" spans="1:5" ht="15">
      <c r="A118" s="356" t="s">
        <v>1070</v>
      </c>
      <c r="B118" t="s">
        <v>1071</v>
      </c>
      <c r="C118">
        <v>67000</v>
      </c>
      <c r="D118">
        <v>0</v>
      </c>
      <c r="E118">
        <v>67000</v>
      </c>
    </row>
    <row r="119" spans="1:5" ht="15">
      <c r="A119" s="356" t="s">
        <v>986</v>
      </c>
      <c r="B119" t="s">
        <v>987</v>
      </c>
      <c r="C119">
        <v>54559000</v>
      </c>
      <c r="D119">
        <v>0</v>
      </c>
      <c r="E119">
        <v>54559000</v>
      </c>
    </row>
    <row r="120" spans="1:5" ht="15">
      <c r="A120" s="356" t="s">
        <v>141</v>
      </c>
      <c r="B120" t="s">
        <v>142</v>
      </c>
      <c r="C120">
        <v>27483000</v>
      </c>
      <c r="D120">
        <v>0</v>
      </c>
      <c r="E120">
        <v>27483000</v>
      </c>
    </row>
    <row r="121" spans="1:5" ht="15">
      <c r="A121" s="356" t="s">
        <v>143</v>
      </c>
      <c r="B121" t="s">
        <v>144</v>
      </c>
      <c r="C121">
        <v>3941074000</v>
      </c>
      <c r="D121">
        <v>43977000</v>
      </c>
      <c r="E121">
        <v>3897097000</v>
      </c>
    </row>
    <row r="122" spans="1:5" ht="15">
      <c r="A122" s="356" t="s">
        <v>1083</v>
      </c>
      <c r="B122" t="s">
        <v>1084</v>
      </c>
      <c r="C122">
        <v>10041000</v>
      </c>
      <c r="D122">
        <v>0</v>
      </c>
      <c r="E122">
        <v>10041000</v>
      </c>
    </row>
    <row r="123" spans="1:5" ht="15">
      <c r="A123" s="356" t="s">
        <v>145</v>
      </c>
      <c r="B123" t="s">
        <v>146</v>
      </c>
      <c r="C123">
        <v>76539000</v>
      </c>
      <c r="D123">
        <v>0</v>
      </c>
      <c r="E123">
        <v>76539000</v>
      </c>
    </row>
    <row r="124" spans="1:5" ht="15">
      <c r="A124" s="356" t="s">
        <v>397</v>
      </c>
      <c r="B124" t="s">
        <v>398</v>
      </c>
      <c r="C124">
        <v>358000</v>
      </c>
      <c r="D124">
        <v>0</v>
      </c>
      <c r="E124">
        <v>358000</v>
      </c>
    </row>
    <row r="125" spans="1:5" ht="15">
      <c r="A125" s="356" t="s">
        <v>147</v>
      </c>
      <c r="B125" t="s">
        <v>148</v>
      </c>
      <c r="C125">
        <v>936382000</v>
      </c>
      <c r="D125">
        <v>0</v>
      </c>
      <c r="E125">
        <v>936382000</v>
      </c>
    </row>
    <row r="126" spans="1:5" ht="15">
      <c r="A126" s="356" t="s">
        <v>149</v>
      </c>
      <c r="B126" t="s">
        <v>150</v>
      </c>
      <c r="C126">
        <v>28187790924.49</v>
      </c>
      <c r="D126">
        <v>15285145000</v>
      </c>
      <c r="E126">
        <v>12902645924.49</v>
      </c>
    </row>
    <row r="127" spans="1:5" ht="15">
      <c r="A127" s="356" t="s">
        <v>1057</v>
      </c>
      <c r="B127" t="s">
        <v>1058</v>
      </c>
      <c r="C127">
        <v>500000</v>
      </c>
      <c r="D127">
        <v>0</v>
      </c>
      <c r="E127">
        <v>500000</v>
      </c>
    </row>
    <row r="128" spans="1:5" ht="15">
      <c r="A128" s="356" t="s">
        <v>151</v>
      </c>
      <c r="B128" t="s">
        <v>152</v>
      </c>
      <c r="C128">
        <v>3403400000</v>
      </c>
      <c r="D128">
        <v>0</v>
      </c>
      <c r="E128">
        <v>3403400000</v>
      </c>
    </row>
    <row r="129" spans="1:5" ht="15">
      <c r="A129" s="356" t="s">
        <v>153</v>
      </c>
      <c r="B129" t="s">
        <v>154</v>
      </c>
      <c r="C129">
        <v>39629000</v>
      </c>
      <c r="D129">
        <v>0</v>
      </c>
      <c r="E129">
        <v>39629000</v>
      </c>
    </row>
    <row r="130" spans="1:5" ht="15">
      <c r="A130" s="356" t="s">
        <v>535</v>
      </c>
      <c r="B130" t="s">
        <v>536</v>
      </c>
      <c r="C130">
        <v>219800000</v>
      </c>
      <c r="D130">
        <v>0</v>
      </c>
      <c r="E130">
        <v>219800000</v>
      </c>
    </row>
    <row r="131" spans="1:5" ht="15">
      <c r="A131" s="356" t="s">
        <v>5</v>
      </c>
      <c r="B131" t="s">
        <v>504</v>
      </c>
      <c r="C131">
        <v>167856791.95</v>
      </c>
      <c r="D131">
        <v>0</v>
      </c>
      <c r="E131">
        <v>167856791.95</v>
      </c>
    </row>
    <row r="132" spans="1:5" ht="15">
      <c r="A132" s="356" t="s">
        <v>446</v>
      </c>
      <c r="B132" t="s">
        <v>447</v>
      </c>
      <c r="C132">
        <v>2871000</v>
      </c>
      <c r="D132">
        <v>0</v>
      </c>
      <c r="E132">
        <v>2871000</v>
      </c>
    </row>
    <row r="133" spans="1:5" ht="15">
      <c r="A133" s="356" t="s">
        <v>448</v>
      </c>
      <c r="B133" t="s">
        <v>449</v>
      </c>
      <c r="C133">
        <v>759956000</v>
      </c>
      <c r="D133">
        <v>313874000</v>
      </c>
      <c r="E133">
        <v>446082000</v>
      </c>
    </row>
    <row r="134" spans="1:5" ht="15">
      <c r="A134" s="356" t="s">
        <v>319</v>
      </c>
      <c r="B134" t="s">
        <v>320</v>
      </c>
      <c r="C134">
        <v>37766000</v>
      </c>
      <c r="D134">
        <v>0</v>
      </c>
      <c r="E134">
        <v>37766000</v>
      </c>
    </row>
    <row r="135" spans="1:5" ht="15">
      <c r="A135" s="356" t="s">
        <v>834</v>
      </c>
      <c r="B135" t="s">
        <v>835</v>
      </c>
      <c r="C135">
        <v>1518000</v>
      </c>
      <c r="D135">
        <v>0</v>
      </c>
      <c r="E135">
        <v>1518000</v>
      </c>
    </row>
    <row r="136" spans="1:5" ht="15">
      <c r="A136" s="356" t="s">
        <v>1093</v>
      </c>
      <c r="B136" t="s">
        <v>1094</v>
      </c>
      <c r="C136">
        <v>15712000</v>
      </c>
      <c r="D136">
        <v>0</v>
      </c>
      <c r="E136">
        <v>15712000</v>
      </c>
    </row>
    <row r="137" spans="1:5" ht="15">
      <c r="A137" s="356" t="s">
        <v>564</v>
      </c>
      <c r="B137" t="s">
        <v>565</v>
      </c>
      <c r="C137">
        <v>2589000</v>
      </c>
      <c r="D137">
        <v>0</v>
      </c>
      <c r="E137">
        <v>2589000</v>
      </c>
    </row>
    <row r="138" spans="1:5" ht="15">
      <c r="A138" s="356" t="s">
        <v>981</v>
      </c>
      <c r="B138" t="s">
        <v>982</v>
      </c>
      <c r="C138">
        <v>2170000</v>
      </c>
      <c r="D138">
        <v>0</v>
      </c>
      <c r="E138">
        <v>2170000</v>
      </c>
    </row>
    <row r="139" spans="1:5" ht="15">
      <c r="A139" s="356" t="s">
        <v>983</v>
      </c>
      <c r="B139" t="s">
        <v>984</v>
      </c>
      <c r="C139">
        <v>17237000</v>
      </c>
      <c r="D139">
        <v>0</v>
      </c>
      <c r="E139">
        <v>17237000</v>
      </c>
    </row>
    <row r="140" spans="1:5" ht="15">
      <c r="A140" s="356" t="s">
        <v>858</v>
      </c>
      <c r="B140" t="s">
        <v>985</v>
      </c>
      <c r="C140">
        <v>15870000</v>
      </c>
      <c r="D140">
        <v>0</v>
      </c>
      <c r="E140">
        <v>15870000</v>
      </c>
    </row>
    <row r="141" spans="1:5" ht="15">
      <c r="A141" s="356" t="s">
        <v>412</v>
      </c>
      <c r="B141" t="s">
        <v>413</v>
      </c>
      <c r="C141">
        <v>12568092350</v>
      </c>
      <c r="D141">
        <v>460000000</v>
      </c>
      <c r="E141">
        <v>12108092350</v>
      </c>
    </row>
    <row r="142" spans="1:5" ht="15">
      <c r="A142" s="356" t="s">
        <v>156</v>
      </c>
      <c r="B142" t="s">
        <v>157</v>
      </c>
      <c r="C142">
        <v>13318000</v>
      </c>
      <c r="D142">
        <v>0</v>
      </c>
      <c r="E142">
        <v>13318000</v>
      </c>
    </row>
    <row r="143" spans="1:5" ht="15">
      <c r="A143" s="356" t="s">
        <v>51</v>
      </c>
      <c r="B143" t="s">
        <v>52</v>
      </c>
      <c r="C143">
        <v>324312000</v>
      </c>
      <c r="D143">
        <v>0</v>
      </c>
      <c r="E143">
        <v>324312000</v>
      </c>
    </row>
    <row r="144" spans="1:5" ht="15">
      <c r="A144" s="356" t="s">
        <v>900</v>
      </c>
      <c r="B144" t="s">
        <v>53</v>
      </c>
      <c r="C144">
        <v>503000</v>
      </c>
      <c r="D144">
        <v>0</v>
      </c>
      <c r="E144">
        <v>503000</v>
      </c>
    </row>
    <row r="145" spans="1:5" ht="15">
      <c r="A145" s="356" t="s">
        <v>54</v>
      </c>
      <c r="B145" t="s">
        <v>55</v>
      </c>
      <c r="C145">
        <v>470000</v>
      </c>
      <c r="D145">
        <v>0</v>
      </c>
      <c r="E145">
        <v>470000</v>
      </c>
    </row>
    <row r="146" spans="1:5" ht="15">
      <c r="A146" s="356" t="s">
        <v>56</v>
      </c>
      <c r="B146" t="s">
        <v>57</v>
      </c>
      <c r="C146">
        <v>1395694000</v>
      </c>
      <c r="D146">
        <v>452648000</v>
      </c>
      <c r="E146">
        <v>943046000</v>
      </c>
    </row>
    <row r="147" spans="1:5" ht="15">
      <c r="A147" s="356" t="s">
        <v>58</v>
      </c>
      <c r="B147" t="s">
        <v>59</v>
      </c>
      <c r="C147">
        <v>74922045.53</v>
      </c>
      <c r="D147">
        <v>0</v>
      </c>
      <c r="E147">
        <v>74922045.53</v>
      </c>
    </row>
    <row r="148" spans="1:5" ht="15">
      <c r="A148" s="356" t="s">
        <v>181</v>
      </c>
      <c r="B148" t="s">
        <v>182</v>
      </c>
      <c r="C148">
        <v>1319178000</v>
      </c>
      <c r="D148">
        <v>0</v>
      </c>
      <c r="E148">
        <v>1319178000</v>
      </c>
    </row>
    <row r="149" spans="1:5" ht="15">
      <c r="A149" s="356" t="s">
        <v>1110</v>
      </c>
      <c r="B149" t="s">
        <v>1111</v>
      </c>
      <c r="C149">
        <v>8201000</v>
      </c>
      <c r="D149">
        <v>0</v>
      </c>
      <c r="E149">
        <v>8201000</v>
      </c>
    </row>
    <row r="150" spans="1:5" ht="15">
      <c r="A150" s="356" t="s">
        <v>1112</v>
      </c>
      <c r="B150" t="s">
        <v>1113</v>
      </c>
      <c r="C150">
        <v>261031000</v>
      </c>
      <c r="D150">
        <v>0</v>
      </c>
      <c r="E150">
        <v>261031000</v>
      </c>
    </row>
    <row r="151" spans="1:5" ht="15">
      <c r="A151" s="356" t="s">
        <v>762</v>
      </c>
      <c r="B151" t="s">
        <v>763</v>
      </c>
      <c r="C151">
        <v>51976431.21</v>
      </c>
      <c r="D151">
        <v>0</v>
      </c>
      <c r="E151">
        <v>51976431.21</v>
      </c>
    </row>
    <row r="152" spans="1:5" ht="15">
      <c r="A152" s="356" t="s">
        <v>764</v>
      </c>
      <c r="B152" t="s">
        <v>859</v>
      </c>
      <c r="C152">
        <v>26491092.54</v>
      </c>
      <c r="D152">
        <v>0</v>
      </c>
      <c r="E152">
        <v>26491092.54</v>
      </c>
    </row>
    <row r="153" spans="1:5" ht="15">
      <c r="A153" s="356" t="s">
        <v>216</v>
      </c>
      <c r="B153" t="s">
        <v>217</v>
      </c>
      <c r="C153">
        <v>65975000</v>
      </c>
      <c r="D153">
        <v>16000</v>
      </c>
      <c r="E153">
        <v>65959000</v>
      </c>
    </row>
    <row r="154" spans="1:5" ht="15">
      <c r="A154" s="356" t="s">
        <v>485</v>
      </c>
      <c r="B154" t="s">
        <v>486</v>
      </c>
      <c r="C154">
        <v>5000</v>
      </c>
      <c r="D154">
        <v>0</v>
      </c>
      <c r="E154">
        <v>5000</v>
      </c>
    </row>
    <row r="155" spans="1:5" ht="15">
      <c r="A155" s="356" t="s">
        <v>218</v>
      </c>
      <c r="B155" t="s">
        <v>219</v>
      </c>
      <c r="C155">
        <v>53823169000</v>
      </c>
      <c r="D155">
        <v>0</v>
      </c>
      <c r="E155">
        <v>53823169000</v>
      </c>
    </row>
    <row r="156" spans="1:5" ht="15">
      <c r="A156" s="356" t="s">
        <v>220</v>
      </c>
      <c r="B156" t="s">
        <v>221</v>
      </c>
      <c r="C156">
        <v>1383309000</v>
      </c>
      <c r="D156">
        <v>0</v>
      </c>
      <c r="E156">
        <v>1383309000</v>
      </c>
    </row>
    <row r="157" spans="1:5" ht="15">
      <c r="A157" s="356" t="s">
        <v>926</v>
      </c>
      <c r="B157" t="s">
        <v>927</v>
      </c>
      <c r="C157">
        <v>76042000</v>
      </c>
      <c r="D157">
        <v>29484000</v>
      </c>
      <c r="E157">
        <v>46558000</v>
      </c>
    </row>
    <row r="158" spans="1:5" ht="15">
      <c r="A158" s="356" t="s">
        <v>928</v>
      </c>
      <c r="B158" t="s">
        <v>929</v>
      </c>
      <c r="C158">
        <v>7004100</v>
      </c>
      <c r="D158">
        <v>0</v>
      </c>
      <c r="E158">
        <v>7004100</v>
      </c>
    </row>
    <row r="159" spans="1:5" ht="15">
      <c r="A159" s="356" t="s">
        <v>930</v>
      </c>
      <c r="B159" t="s">
        <v>931</v>
      </c>
      <c r="C159">
        <v>260023000</v>
      </c>
      <c r="D159">
        <v>0</v>
      </c>
      <c r="E159">
        <v>260023000</v>
      </c>
    </row>
    <row r="160" spans="1:5" ht="15">
      <c r="A160" s="356" t="s">
        <v>911</v>
      </c>
      <c r="B160" t="s">
        <v>912</v>
      </c>
      <c r="C160">
        <v>3970194000</v>
      </c>
      <c r="D160">
        <v>0</v>
      </c>
      <c r="E160">
        <v>3970194000</v>
      </c>
    </row>
    <row r="161" spans="1:5" ht="15">
      <c r="A161" s="356" t="s">
        <v>913</v>
      </c>
      <c r="B161" t="s">
        <v>914</v>
      </c>
      <c r="C161">
        <v>142348000</v>
      </c>
      <c r="D161">
        <v>0</v>
      </c>
      <c r="E161">
        <v>142348000</v>
      </c>
    </row>
    <row r="162" spans="1:5" ht="15">
      <c r="A162" s="356" t="s">
        <v>915</v>
      </c>
      <c r="B162" t="s">
        <v>916</v>
      </c>
      <c r="C162">
        <v>2094783000</v>
      </c>
      <c r="D162">
        <v>0</v>
      </c>
      <c r="E162">
        <v>2094783000</v>
      </c>
    </row>
    <row r="163" spans="1:5" ht="15">
      <c r="A163" s="356" t="s">
        <v>917</v>
      </c>
      <c r="B163" t="s">
        <v>918</v>
      </c>
      <c r="C163">
        <v>713932000</v>
      </c>
      <c r="D163">
        <v>280000000</v>
      </c>
      <c r="E163">
        <v>433932000</v>
      </c>
    </row>
    <row r="164" spans="1:5" ht="15">
      <c r="A164" s="356" t="s">
        <v>526</v>
      </c>
      <c r="B164" t="s">
        <v>527</v>
      </c>
      <c r="C164">
        <v>2945433000</v>
      </c>
      <c r="D164">
        <v>990000000</v>
      </c>
      <c r="E164">
        <v>1955433000</v>
      </c>
    </row>
    <row r="165" spans="1:5" ht="15">
      <c r="A165" s="356" t="s">
        <v>528</v>
      </c>
      <c r="B165" t="s">
        <v>529</v>
      </c>
      <c r="C165">
        <v>254000</v>
      </c>
      <c r="D165">
        <v>0</v>
      </c>
      <c r="E165">
        <v>254000</v>
      </c>
    </row>
    <row r="166" spans="1:5" ht="15">
      <c r="A166" s="356" t="s">
        <v>530</v>
      </c>
      <c r="B166" t="s">
        <v>531</v>
      </c>
      <c r="C166">
        <v>716031712.48</v>
      </c>
      <c r="D166">
        <v>0</v>
      </c>
      <c r="E166">
        <v>716031712.48</v>
      </c>
    </row>
    <row r="167" spans="1:5" ht="15">
      <c r="A167" s="356" t="s">
        <v>1076</v>
      </c>
      <c r="B167" t="s">
        <v>1077</v>
      </c>
      <c r="C167">
        <v>36588000</v>
      </c>
      <c r="D167">
        <v>0</v>
      </c>
      <c r="E167">
        <v>36588000</v>
      </c>
    </row>
  </sheetData>
  <printOptions gridLines="1" horizontalCentered="1"/>
  <pageMargins left="0.5" right="0" top="0.6" bottom="0.25" header="0" footer="0"/>
  <pageSetup horizontalDpi="300" verticalDpi="3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Kim Hershman</cp:lastModifiedBy>
  <cp:lastPrinted>2005-07-05T18:05:01Z</cp:lastPrinted>
  <dcterms:created xsi:type="dcterms:W3CDTF">1998-12-22T15:47:59Z</dcterms:created>
  <dcterms:modified xsi:type="dcterms:W3CDTF">2005-07-07T12:20:31Z</dcterms:modified>
  <cp:category/>
  <cp:version/>
  <cp:contentType/>
  <cp:contentStatus/>
</cp:coreProperties>
</file>