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895" windowHeight="8505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'GAS'!$A$1:$M$286</definedName>
    <definedName name="_xlnm.Print_Area" localSheetId="6">'GAS ASCII'!$A$1:$E$163</definedName>
    <definedName name="_xlnm.Print_Area" localSheetId="1">'Marketable'!$A$1:$P$384</definedName>
    <definedName name="_xlnm.Print_Area" localSheetId="2">'Nonmarketable'!$A$1:$P$80</definedName>
    <definedName name="_xlnm.Print_Area" localSheetId="4">'TableIV'!$A$1:$J$184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'TableIV'!$1:$12</definedName>
    <definedName name="TOTALROW1">#REF!</definedName>
    <definedName name="TOTALROW3">#REF!</definedName>
    <definedName name="TOTALS_GDEBT">'TableIV'!$K$6:$K$11</definedName>
    <definedName name="TOTALS_MSPD2">'GAS'!$H$72:$I$279</definedName>
    <definedName name="TOTALS_MSPD2A">'GAS'!$I$260:$L$279</definedName>
    <definedName name="TOTALS_PAGE2">'Marketable'!$K$8:$P$215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'GAS'!$A$1:$M$279</definedName>
    <definedName name="Z_299E6BA2_5C55_11D3_95FC_00C04F98DD55_.wvu.PrintArea" localSheetId="6" hidden="1">'Footnotes'!$A$1:$M$70</definedName>
    <definedName name="Z_299E6BA2_5C55_11D3_95FC_00C04F98DD55_.wvu.PrintArea" localSheetId="1" hidden="1">'Marketable'!$A$1:$P$384</definedName>
    <definedName name="Z_299E6BA2_5C55_11D3_95FC_00C04F98DD55_.wvu.PrintArea" localSheetId="4" hidden="1">'TableIV'!$A$1:$J$185</definedName>
    <definedName name="Z_299E6BA2_5C55_11D3_95FC_00C04F98DD55_.wvu.Rows" localSheetId="3" hidden="1">'GAS'!#REF!</definedName>
    <definedName name="Z_299E6BA2_5C55_11D3_95FC_00C04F98DD55_.wvu.Rows" localSheetId="1" hidden="1">'Marketable'!$199:$199</definedName>
    <definedName name="Z_F8F97401_998A_11D2_AE2A_00C04F98DCD3_.wvu.PrintArea" hidden="1">'TableIV'!$A$1:$J$182</definedName>
    <definedName name="Z_FDA6B625_998F_11D2_AE2A_00C04F98DCD3_.wvu.PrintArea" hidden="1">'TableIV'!$A$1:$J$182</definedName>
  </definedNames>
  <calcPr fullCalcOnLoad="1"/>
</workbook>
</file>

<file path=xl/sharedStrings.xml><?xml version="1.0" encoding="utf-8"?>
<sst xmlns="http://schemas.openxmlformats.org/spreadsheetml/2006/main" count="2379" uniqueCount="1221">
  <si>
    <r>
      <t xml:space="preserve">Statutory Debt Limit  </t>
    </r>
    <r>
      <rPr>
        <vertAlign val="superscript"/>
        <sz val="14"/>
        <rFont val="Arial"/>
        <family val="2"/>
      </rPr>
      <t>4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</si>
  <si>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5  d</t>
  </si>
  <si>
    <t xml:space="preserve">  6   e</t>
  </si>
  <si>
    <t>6  e</t>
  </si>
  <si>
    <t>10 e</t>
  </si>
  <si>
    <t>12  e</t>
  </si>
  <si>
    <r>
      <t xml:space="preserve">        This Month </t>
    </r>
    <r>
      <rPr>
        <vertAlign val="superscript"/>
        <sz val="12"/>
        <rFont val="Arial"/>
        <family val="2"/>
      </rPr>
      <t>17</t>
    </r>
  </si>
  <si>
    <t>QV6</t>
  </si>
  <si>
    <t>QU8</t>
  </si>
  <si>
    <t>QT1</t>
  </si>
  <si>
    <t>QS3</t>
  </si>
  <si>
    <t>QR5</t>
  </si>
  <si>
    <t xml:space="preserve">  BW9</t>
  </si>
  <si>
    <t>BV1</t>
  </si>
  <si>
    <t>Bills 07/08/04..........................................................…</t>
  </si>
  <si>
    <t>JS7</t>
  </si>
  <si>
    <t>BW9</t>
  </si>
  <si>
    <t>JT5</t>
  </si>
  <si>
    <t>Total Treasury Bonds...............................................................................…</t>
  </si>
  <si>
    <t>Total Treasury Inflation-Indexed Notes...............................................................................…</t>
  </si>
  <si>
    <t>2</t>
  </si>
  <si>
    <t>HV2</t>
  </si>
  <si>
    <t>HW0</t>
  </si>
  <si>
    <t>HX8</t>
  </si>
  <si>
    <t>Total Treasury Inflation-Indexed Bonds...............................................................................…</t>
  </si>
  <si>
    <t>Total Marketable...............................................................................…</t>
  </si>
  <si>
    <t>Total United States Savings Securities...............................................................................…</t>
  </si>
  <si>
    <t>National and Federal Reserve Bank Notes assumed by the United States on deposit of lawful money for their retirement ...........................................................................................</t>
  </si>
  <si>
    <t>5F5</t>
  </si>
  <si>
    <t>5M0</t>
  </si>
  <si>
    <t>5S7</t>
  </si>
  <si>
    <t>6D9</t>
  </si>
  <si>
    <t>6N7</t>
  </si>
  <si>
    <t>X80</t>
  </si>
  <si>
    <t>5N8</t>
  </si>
  <si>
    <t>5Z1</t>
  </si>
  <si>
    <t>6J6</t>
  </si>
  <si>
    <t>DH8</t>
  </si>
  <si>
    <t>DK1</t>
  </si>
  <si>
    <t>CK2</t>
  </si>
  <si>
    <t>DM7</t>
  </si>
  <si>
    <t>CM8</t>
  </si>
  <si>
    <t>CP1</t>
  </si>
  <si>
    <t>DQ8</t>
  </si>
  <si>
    <t>DR6</t>
  </si>
  <si>
    <t>CS5</t>
  </si>
  <si>
    <t xml:space="preserve">  DU9</t>
  </si>
  <si>
    <t xml:space="preserve">  CV8</t>
  </si>
  <si>
    <t xml:space="preserve"> CY2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</si>
  <si>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</si>
  <si>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</si>
  <si>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FT9</t>
  </si>
  <si>
    <t>District of Columbia Judges Retirement Fund.............................................................................................................................................</t>
  </si>
  <si>
    <t>Eisenhower Exchange Fellowship Program Trust Fund........................................................................................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</si>
  <si>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</si>
  <si>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912827  R87</t>
  </si>
  <si>
    <t>912828  AK6</t>
  </si>
  <si>
    <t>2-1/8</t>
  </si>
  <si>
    <t>HG5</t>
  </si>
  <si>
    <t>AL4</t>
  </si>
  <si>
    <t>1-7/8</t>
  </si>
  <si>
    <t>HH3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</si>
  <si>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</si>
  <si>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</si>
  <si>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</si>
  <si>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Employees' Life Insurance Fund, Office of Personnel Management.....................................................................</t>
  </si>
  <si>
    <t>Esther Cattell Schmitt Gift Fund, Treasury.......................................................................................................................................</t>
  </si>
  <si>
    <t>irretrievably lost.</t>
  </si>
  <si>
    <t>PW5</t>
  </si>
  <si>
    <t>Excludes $29 million National Bank Notes issued prior to July 1, 1929, and $2 million Federal Reserve Bank Notes issued prior to July 1, 1929, determined</t>
  </si>
  <si>
    <t>pursuant to Act of June 30, 1961, 31 U.S.C. 5119 to have been destroyed or irretrievably lost.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</si>
  <si>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</si>
  <si>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</si>
  <si>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</si>
  <si>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 xml:space="preserve">  FF0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</si>
  <si>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</si>
  <si>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</si>
  <si>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</si>
  <si>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</si>
  <si>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</si>
  <si>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</si>
  <si>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</si>
  <si>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</si>
  <si>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</si>
  <si>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Government Account Series - Intragovernmental Holdings:</t>
  </si>
  <si>
    <t>Other Debt:</t>
  </si>
  <si>
    <t>Government Account Series - Intragovernmental Holdings--Continued:</t>
  </si>
  <si>
    <t>Retired Employees Health Benefits Fund,</t>
  </si>
  <si>
    <t>b</t>
  </si>
  <si>
    <t>Issued pursuant to Sec. 832(e), Internal Revenue Code of 1954.</t>
  </si>
  <si>
    <t>TAX STATUS:</t>
  </si>
  <si>
    <t>c</t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</si>
  <si>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</si>
  <si>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</si>
  <si>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</si>
  <si>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</si>
  <si>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</si>
  <si>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</si>
  <si>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 xml:space="preserve"> ...................</t>
  </si>
  <si>
    <t>................</t>
  </si>
  <si>
    <t>..............</t>
  </si>
  <si>
    <t>.............</t>
  </si>
  <si>
    <t>Treasury Notes:</t>
  </si>
  <si>
    <t>Series:</t>
  </si>
  <si>
    <t>Interest Rate:</t>
  </si>
  <si>
    <t>V</t>
  </si>
  <si>
    <t>06/30-12/31</t>
  </si>
  <si>
    <t>5-3/4</t>
  </si>
  <si>
    <t>E</t>
  </si>
  <si>
    <t>6-3/8</t>
  </si>
  <si>
    <t>01/15-07/15</t>
  </si>
  <si>
    <t>J</t>
  </si>
  <si>
    <t>01/31-07/31</t>
  </si>
  <si>
    <t>5-7/8</t>
  </si>
  <si>
    <t>A</t>
  </si>
  <si>
    <t>8-7/8</t>
  </si>
  <si>
    <t>Conditional Gift Fund, General, Department of State..........................................................................................................................................................................................................................…</t>
  </si>
  <si>
    <t>Expenses and Refunds, Inspection and Grading of Farm Products, Agricultural</t>
  </si>
  <si>
    <t xml:space="preserve">   Marketing Service.....................................................................................................................................................................................................................……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</si>
  <si>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</si>
  <si>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</si>
  <si>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Judicial Survivors Annuities Fund................................................................................................................................</t>
  </si>
  <si>
    <t>AP5</t>
  </si>
  <si>
    <t>AN0</t>
  </si>
  <si>
    <t>HK6</t>
  </si>
  <si>
    <t>HL4</t>
  </si>
  <si>
    <t>Kennedy Center Revenue Bond Sinking Fund............................................................................................................</t>
  </si>
  <si>
    <t>912828  AT7</t>
  </si>
  <si>
    <t>HQ3</t>
  </si>
  <si>
    <t>AU4</t>
  </si>
  <si>
    <t>HR1</t>
  </si>
  <si>
    <t>Bills 02/20/04..........................................................…</t>
  </si>
  <si>
    <t>Bills 08/02/04..........................................................…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</si>
  <si>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</si>
  <si>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BD1</t>
  </si>
  <si>
    <t xml:space="preserve"> BD1</t>
  </si>
  <si>
    <t>JA6</t>
  </si>
  <si>
    <t>912827  2U5</t>
  </si>
  <si>
    <t>MARITIME GUARANTEED LOAN ESCROW FUND</t>
  </si>
  <si>
    <t>69X6040</t>
  </si>
  <si>
    <t>PAYMENTS OF ALLEGED VIOLATORS OF DEPARTMENT OF ENERGY REGULATIONS, DEPARTMENT OF ENERGY</t>
  </si>
  <si>
    <t>89X6425</t>
  </si>
  <si>
    <t>SEIZED ASSETS FUND, JUSTICE</t>
  </si>
  <si>
    <t>15X6874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</si>
  <si>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</si>
  <si>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</si>
  <si>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</si>
  <si>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</si>
  <si>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</si>
  <si>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</si>
  <si>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TREASURY DEPOSIT FUNDS</t>
  </si>
  <si>
    <t>20X6420</t>
  </si>
  <si>
    <t>UNEARNED COPYRIGHT FEES, LIBRARY OF CONGRESS</t>
  </si>
  <si>
    <t>03X6206</t>
  </si>
  <si>
    <t>WAGE AND HOUR AND PUBLIC CONTRACTS RESTITUTION FUND, LABOR</t>
  </si>
  <si>
    <t>16X6507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</si>
  <si>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</si>
  <si>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</si>
  <si>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</si>
  <si>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</si>
  <si>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</si>
  <si>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</si>
  <si>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AQUATIC RESOURCES TRUST FUND</t>
  </si>
  <si>
    <t>20X81472</t>
  </si>
  <si>
    <t>ARMED FORCES RETIREMENT HOME TRUST FUND</t>
  </si>
  <si>
    <t>84X8522</t>
  </si>
  <si>
    <t>ASSESSMENT FUNDS, OFFICE OF THE COMPTROLLER OF THE CURRENCY</t>
  </si>
  <si>
    <t>20X8413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</si>
  <si>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</si>
  <si>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</si>
  <si>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</si>
  <si>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</si>
  <si>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</si>
  <si>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</si>
  <si>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</si>
  <si>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</si>
  <si>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BEQUESTS AND GIFTS, DISASTER RELIEF, FUNDS APPROPRIATED TO THE PRESIDENT</t>
  </si>
  <si>
    <t>70X8244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</si>
  <si>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</si>
  <si>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</si>
  <si>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 xml:space="preserve">  912828  AS9</t>
  </si>
  <si>
    <t>DC FEDERAL PENSION LIABILITY TRUST FUND</t>
  </si>
  <si>
    <t>20X8230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</si>
  <si>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</si>
  <si>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</si>
  <si>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</si>
  <si>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</si>
  <si>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</si>
  <si>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24X8424</t>
  </si>
  <si>
    <t>ENDEAVOR TEACHER FELLOWSHIP TRUST FUND</t>
  </si>
  <si>
    <t>80X8550</t>
  </si>
  <si>
    <t>IRANIAN CLAIMS SETTLEMENT FUND, TREASURY DEPARTMENT</t>
  </si>
  <si>
    <t>20X6312</t>
  </si>
  <si>
    <t>ISRAELI ARAB SCHOLARSHIP PROGRAM, UNITED STATES INFORMATION AGENCY</t>
  </si>
  <si>
    <t>19X8271</t>
  </si>
  <si>
    <t>JAMES MADISON MEMORIAL FELLOWSHIP FOUNDATION FUND</t>
  </si>
  <si>
    <t>95X8282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</si>
  <si>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</si>
  <si>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</si>
  <si>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</si>
  <si>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</si>
  <si>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</si>
  <si>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</si>
  <si>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</si>
  <si>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</si>
  <si>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</si>
  <si>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</si>
  <si>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</si>
  <si>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</si>
  <si>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</si>
  <si>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</si>
  <si>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</si>
  <si>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</si>
  <si>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</si>
  <si>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</si>
  <si>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</si>
  <si>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</si>
  <si>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LOWER BRULE SIOUX TRIBE TERRESTRIAL WILDLIFE HABITAT RESTORATION TRUST FUND</t>
  </si>
  <si>
    <t>20X8207</t>
  </si>
  <si>
    <t>MARKETING SERVICES, AGRICULTURAL MARKETING SERVICE</t>
  </si>
  <si>
    <t>12X2500</t>
  </si>
  <si>
    <t>MORRIS K. UDALL SCHOLARSHIP AND EXCELLENCE IN NATIONAL ENVIRONMENTAL POLICY TRUST FUND</t>
  </si>
  <si>
    <t>95X8615</t>
  </si>
  <si>
    <t>NATIONAL ARCHIVES TRUST FUND, NATIONAL ARCHIVES AND RECORDS ADMINISTRATION</t>
  </si>
  <si>
    <t>88X8436</t>
  </si>
  <si>
    <t>NATIONAL CREDIT UNION SHARE INSURANCE FUND</t>
  </si>
  <si>
    <t>25X4468</t>
  </si>
  <si>
    <t>NATIONAL GIFT FUND, NATIONAL ARCHIVES AND RECORDS ADMINISTRATION</t>
  </si>
  <si>
    <t>88X8127</t>
  </si>
  <si>
    <t>NATIONAL INSTITUTES OF HEALTH CONDITIONAL GIFT FUND</t>
  </si>
  <si>
    <t>75X8253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</si>
  <si>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</si>
  <si>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</si>
  <si>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</si>
  <si>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</si>
  <si>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</si>
  <si>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</si>
  <si>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</si>
  <si>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</si>
  <si>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</si>
  <si>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</si>
  <si>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</si>
  <si>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>PV7</t>
  </si>
  <si>
    <t>PU9</t>
  </si>
  <si>
    <t xml:space="preserve">  Unclassified................................................</t>
  </si>
  <si>
    <t xml:space="preserve"> Series H..............................................................</t>
  </si>
  <si>
    <t xml:space="preserve"> Series HH..........................................................</t>
  </si>
  <si>
    <t>FQ6</t>
  </si>
  <si>
    <t>CL5</t>
  </si>
  <si>
    <t xml:space="preserve"> Series H and HH Unclassified...............................</t>
  </si>
  <si>
    <t>Vaccine Injury Compensation Trust Fund....................................................................................................................</t>
  </si>
  <si>
    <t>Total Inflation-Indexed Notes.................................................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</si>
  <si>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</si>
  <si>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</si>
  <si>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Treasury Bills...............................................................................…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</si>
  <si>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</si>
  <si>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</si>
  <si>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</si>
  <si>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</si>
  <si>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</si>
  <si>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1-1/4</t>
  </si>
  <si>
    <t>912827  U83</t>
  </si>
  <si>
    <t>Airport and Airway Trust Fund......................................................................................................................................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</si>
  <si>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</si>
  <si>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GG6</t>
  </si>
  <si>
    <t>Sept. 30, 2002</t>
  </si>
  <si>
    <r>
      <t xml:space="preserve">Unamortized Discount 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</si>
  <si>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3</t>
    </r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</si>
  <si>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</si>
  <si>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</si>
  <si>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</si>
  <si>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</si>
  <si>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</si>
  <si>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</si>
  <si>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</si>
  <si>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</si>
  <si>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</si>
  <si>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</si>
  <si>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</si>
  <si>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</si>
  <si>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</si>
  <si>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</si>
  <si>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WAR-RISK INSURANCE REVOLVING FUND, MARITIME ADMINISTRATION</t>
  </si>
  <si>
    <t>69X4302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</si>
  <si>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</si>
  <si>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</si>
  <si>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</si>
  <si>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912795  PS4</t>
  </si>
  <si>
    <t>912828  AB6</t>
  </si>
  <si>
    <t>912820 GY7</t>
  </si>
  <si>
    <t>RA1</t>
  </si>
  <si>
    <t>RB9</t>
  </si>
  <si>
    <t>RC7</t>
  </si>
  <si>
    <t>RD5</t>
  </si>
  <si>
    <t>CC2</t>
  </si>
  <si>
    <t>09/15-03/15</t>
  </si>
  <si>
    <t>JZ1</t>
  </si>
  <si>
    <t>08/31-02/28</t>
  </si>
  <si>
    <t>912828  CB4</t>
  </si>
  <si>
    <t>JY4</t>
  </si>
  <si>
    <t>CD0</t>
  </si>
  <si>
    <t>CDO</t>
  </si>
  <si>
    <t>KA4</t>
  </si>
  <si>
    <t>Department of Defense, Education Benefits Fund.....................................................................................................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</si>
  <si>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</si>
  <si>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</si>
  <si>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</si>
  <si>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TABLE V - HOLDINGS OF TREASURY SECURITIES IN STRIPPED FORM, MARCH 31, 2004 -- Continued</t>
  </si>
  <si>
    <t>MONTHLY STATEMENT OF THE PUBLIC DEBT OF THE UNITED STATES MARCH 31, 2004 - FOOTNOTES</t>
  </si>
  <si>
    <t>Contributions, American Battle Monuments Commission..........................................................................................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</si>
  <si>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</si>
  <si>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</si>
  <si>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Court of Veterans Appeals Retirement Fund.............................................................................................................................................</t>
  </si>
  <si>
    <t>Pursuant to 31 U.S.C. 3101(b).  By Act of May 27, 2003, Public Law 108-24, the Statutory Debt Limit was permanently increased to $7,384,000 million.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</si>
  <si>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</si>
  <si>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</si>
  <si>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</si>
  <si>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</si>
  <si>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</si>
  <si>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DU8</t>
  </si>
  <si>
    <t>DV6</t>
  </si>
  <si>
    <t>QY0</t>
  </si>
  <si>
    <t>Harry S. Truman Memorial Scholarship Trust Fund, Harry S. Truman</t>
  </si>
  <si>
    <t>GC5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</si>
  <si>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</si>
  <si>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</si>
  <si>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HA8</t>
  </si>
  <si>
    <t>Not Subject to the Statutory Debt Limit:</t>
  </si>
  <si>
    <t>MATURITIES:</t>
  </si>
  <si>
    <t>f</t>
  </si>
  <si>
    <t>Sept. 30, 2001</t>
  </si>
  <si>
    <t>Sept. 30, 2000</t>
  </si>
  <si>
    <t>COMPILED AND PUBLISHED BY</t>
  </si>
  <si>
    <t>THE BUREAU OF THE PUBLIC DEBT</t>
  </si>
  <si>
    <t>Issue</t>
  </si>
  <si>
    <t>Payable/</t>
  </si>
  <si>
    <t>Interest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</si>
  <si>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</si>
  <si>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</si>
  <si>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</si>
  <si>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</si>
  <si>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</si>
  <si>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</si>
  <si>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</si>
  <si>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</si>
  <si>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</si>
  <si>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</si>
  <si>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</si>
  <si>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</si>
  <si>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</si>
  <si>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</si>
  <si>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</si>
  <si>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</si>
  <si>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FEDERAL HOUSING ADMINISTRATION - LIQUIDATING ACCOUNT, HOUSING AND URBAN DEVELOPMENT</t>
  </si>
  <si>
    <t>86X02362</t>
  </si>
  <si>
    <t>FEDERAL OLD-AGE AND SURVIVORS INSURANCE TRUST FUND</t>
  </si>
  <si>
    <t>20X8006</t>
  </si>
  <si>
    <t>FEDERAL SUPPLEMENTAL DISTRICT OF COLUMBIA PENSION FUND</t>
  </si>
  <si>
    <t>20X5500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</si>
  <si>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</si>
  <si>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</si>
  <si>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</si>
  <si>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</si>
  <si>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</si>
  <si>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</si>
  <si>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GENERAL POST FUND, NATIONAL HOMES, DEPARTMENT OF VETERANS AFFAIRS</t>
  </si>
  <si>
    <t>36X8180</t>
  </si>
  <si>
    <t>GERMAN DEMOCRATIC REPUBLIC SETTLEMENT FUND</t>
  </si>
  <si>
    <t>20X6314</t>
  </si>
  <si>
    <t>GIFTS AND BEQUESTS, OFFICE OF THE SECRETARY, DEPARTMENT OF TRANSPORTATION</t>
  </si>
  <si>
    <t>69X8548</t>
  </si>
  <si>
    <t>GIFTS AND BEQUESTS, TREASURY</t>
  </si>
  <si>
    <t>20X8790</t>
  </si>
  <si>
    <t>RESERVE MOBILIZATION INCOME INSURANCE FUND, DEFENSE</t>
  </si>
  <si>
    <t>97X4179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</si>
  <si>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</si>
  <si>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Oliver Wendell Holmes Devise Fund, Library of Congress.........................................................................................</t>
  </si>
  <si>
    <t>JJ7</t>
  </si>
  <si>
    <t>Operating Fund, National Credit Union Administration.........................................................................................</t>
  </si>
  <si>
    <r>
      <t>Total Matured Treasury Notes</t>
    </r>
    <r>
      <rPr>
        <sz val="12"/>
        <rFont val="Arial"/>
        <family val="0"/>
      </rPr>
      <t>...............................................................................…</t>
    </r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</si>
  <si>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</si>
  <si>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</si>
  <si>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BR0</t>
  </si>
  <si>
    <t>JL2</t>
  </si>
  <si>
    <t>912828  BP4</t>
  </si>
  <si>
    <t>912827  2J0</t>
  </si>
  <si>
    <t>912828  BQ2</t>
  </si>
  <si>
    <t>JM0</t>
  </si>
  <si>
    <t>912827  5G3</t>
  </si>
  <si>
    <t>JN8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</si>
  <si>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</si>
  <si>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</si>
  <si>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</si>
  <si>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</si>
  <si>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Open World Leadership Center Trust Fund......................................................................................................................................................................................................................................…….</t>
  </si>
  <si>
    <t>BH2</t>
  </si>
  <si>
    <t>912828  BF6</t>
  </si>
  <si>
    <t>2-3/8</t>
  </si>
  <si>
    <t>BG4</t>
  </si>
  <si>
    <t>JE8</t>
  </si>
  <si>
    <t>JC2</t>
  </si>
  <si>
    <t>JD0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</si>
  <si>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</si>
  <si>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</si>
  <si>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Other Debt Not Subject to Limit..................................................................................…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</si>
  <si>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</si>
  <si>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</si>
  <si>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</si>
  <si>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</si>
  <si>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</si>
  <si>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</si>
  <si>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Less than $500 thousand.</t>
  </si>
  <si>
    <t>EM5</t>
  </si>
  <si>
    <t>CH4</t>
  </si>
  <si>
    <t>ER4</t>
  </si>
  <si>
    <t>Subject to the Statutory Debt Limit:</t>
  </si>
  <si>
    <t>total</t>
  </si>
  <si>
    <t>3-7/8</t>
  </si>
  <si>
    <t>DN4</t>
  </si>
  <si>
    <t>Corpus</t>
  </si>
  <si>
    <t>STRIP</t>
  </si>
  <si>
    <t>Maturity Date</t>
  </si>
  <si>
    <t>SAVING ASSOCIATION INSURANCE FUND, THE</t>
  </si>
  <si>
    <t>51X4066</t>
  </si>
  <si>
    <t>QZ7</t>
  </si>
  <si>
    <t>PUBLIC ENTERPRISE REVOLVING FUND, OFFICE OF THRIFT SUPERVISION, TREASURY</t>
  </si>
  <si>
    <t>20X4108</t>
  </si>
  <si>
    <t>PUBLIC HEALTH SERVICE CONDITIONAL GIFT FUND, HEALTH RESOURCES AND SERVICES ADMINISTRATION</t>
  </si>
  <si>
    <t>75X8254</t>
  </si>
  <si>
    <t>RAILROAD RETIREMENT ACCOUNT</t>
  </si>
  <si>
    <t>60X8011</t>
  </si>
  <si>
    <t>RELIEF AND REHABILITATION, LONGSHOREMEN'S AND HARBOR WORKERS' COMPENSATION ACT, AS AMENDED, DEPARTMENT OF L</t>
  </si>
  <si>
    <t>16X8130</t>
  </si>
  <si>
    <t>RELIEF AND REHABILITIATION, WORKMEN'S COMPENSATION ACT, WITHIN THE DISTRICT OF COLUMBIA, DEPARTMENT OF LABO</t>
  </si>
  <si>
    <t>16X8134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</si>
  <si>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</si>
  <si>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</si>
  <si>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</si>
  <si>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</si>
  <si>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OPEN WORLD LEADERSHIP CENTER TRUST FUND</t>
  </si>
  <si>
    <t>09X8148</t>
  </si>
  <si>
    <t>Aquatic Resources Trust Fund.....................................................................................................................................</t>
  </si>
  <si>
    <t>The data reported represents a one or two month lag behind the date of the Monthly Statement of the Public Debt.</t>
  </si>
  <si>
    <t>(Millions of dollars)</t>
  </si>
  <si>
    <t>Amount Outstanding in Thousands</t>
  </si>
  <si>
    <t>7F3</t>
  </si>
  <si>
    <t>GQ4</t>
  </si>
  <si>
    <t>GA9</t>
  </si>
  <si>
    <t xml:space="preserve">*  </t>
  </si>
  <si>
    <t>Capitol Preservation Fund, U.S. Capitol Preservation Commission.....................................................................</t>
  </si>
  <si>
    <t>Christopher Columbus Scholarship Fund, Christopher Columbus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</si>
  <si>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</si>
  <si>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</si>
  <si>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</si>
  <si>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</si>
  <si>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</si>
  <si>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>TAX COURT JUDGES SURVIVORS ANNUITY FUND</t>
  </si>
  <si>
    <t>23X8115</t>
  </si>
  <si>
    <t>TREASURY FORFEITURE FUND</t>
  </si>
  <si>
    <t>20X5697</t>
  </si>
  <si>
    <t>TRIBAL SPECIAL FUND, OFFICE OF THE SPECIAL TRUSTEE FOR AMERICAN INDIANS</t>
  </si>
  <si>
    <t>14X5265</t>
  </si>
  <si>
    <t>TRIBAL TRUST FUND, OFFICE OF THE SPECIAL TRUSTEE FOR AMERICAN INDIANS</t>
  </si>
  <si>
    <t>14X8030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</si>
  <si>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</si>
  <si>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</si>
  <si>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</si>
  <si>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r>
      <t xml:space="preserve">        This Month </t>
    </r>
    <r>
      <rPr>
        <vertAlign val="superscript"/>
        <sz val="13"/>
        <rFont val="Arial"/>
        <family val="2"/>
      </rPr>
      <t>17</t>
    </r>
  </si>
  <si>
    <t>Individual Indian Money, Bureau of Indian Affairs.....................................................................................................................................…</t>
  </si>
  <si>
    <t>Kuukpik Alaska Escrow Fund.................................................................................................................................................................…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</si>
  <si>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</si>
  <si>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</si>
  <si>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</si>
  <si>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</si>
  <si>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</si>
  <si>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</si>
  <si>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</si>
  <si>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</si>
  <si>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</si>
  <si>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</si>
  <si>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</si>
  <si>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</si>
  <si>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</si>
  <si>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</si>
  <si>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</si>
  <si>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</si>
  <si>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</si>
  <si>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</si>
  <si>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</si>
  <si>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</si>
  <si>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</si>
  <si>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</si>
  <si>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Patients Benefit Fund, National Institutes of Health..........................................................................................................................................................................................................................…</t>
  </si>
  <si>
    <t>Power Systems, Indian Irrigation Projects, Bureau of Indian Affairs...........................................................................................................................................…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</si>
  <si>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</si>
  <si>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BN9</t>
  </si>
  <si>
    <t>JK4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</si>
  <si>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</si>
  <si>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</si>
  <si>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</si>
  <si>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912827  P89</t>
  </si>
  <si>
    <t>4-3/8</t>
  </si>
  <si>
    <t>GZ4</t>
  </si>
  <si>
    <t>AE0</t>
  </si>
  <si>
    <t>HB6</t>
  </si>
  <si>
    <t>912828 AF7</t>
  </si>
  <si>
    <t>2-7/8</t>
  </si>
  <si>
    <t>07/15-01/15</t>
  </si>
  <si>
    <t>912828  AY6</t>
  </si>
  <si>
    <t>912827  Y55</t>
  </si>
  <si>
    <t>912828  AZ3</t>
  </si>
  <si>
    <t>2-5/8</t>
  </si>
  <si>
    <t>912827  4V1</t>
  </si>
  <si>
    <t>BA7</t>
  </si>
  <si>
    <t>Treasury Demand Deposit..................</t>
  </si>
  <si>
    <t>Daily</t>
  </si>
  <si>
    <t>SCIENCE, SPACE AND TECHNOLOGY EDUCATION TRUST FUND, NATIONAL AERONAUTICS AND SPACE ADMINISTRATION</t>
  </si>
  <si>
    <t>80X8978</t>
  </si>
  <si>
    <t>SEIZED CURRENCY, UNITED STATES CUSTOMS SERVICE</t>
  </si>
  <si>
    <t>20X6511</t>
  </si>
  <si>
    <t>SENATE PRESERVATION TRUST FUND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</si>
  <si>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</si>
  <si>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</si>
  <si>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</si>
  <si>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</si>
  <si>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</si>
  <si>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</si>
  <si>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</si>
  <si>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AN3</t>
  </si>
  <si>
    <t>AP8</t>
  </si>
  <si>
    <t>AQ6</t>
  </si>
  <si>
    <t>AR4</t>
  </si>
  <si>
    <t>AS2</t>
  </si>
  <si>
    <t>AT0</t>
  </si>
  <si>
    <t>AU7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</si>
  <si>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</si>
  <si>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</si>
  <si>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</si>
  <si>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</si>
  <si>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</si>
  <si>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</si>
  <si>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</si>
  <si>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</si>
  <si>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</si>
  <si>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</si>
  <si>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</si>
  <si>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</si>
  <si>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</si>
  <si>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</si>
  <si>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</si>
  <si>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</si>
  <si>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</si>
  <si>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</si>
  <si>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</si>
  <si>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</si>
  <si>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</si>
  <si>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</si>
  <si>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Seized Currency, United States Customs Service.........................................................................................................................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</si>
  <si>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</si>
  <si>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</si>
  <si>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</si>
  <si>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</si>
  <si>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</si>
  <si>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</si>
  <si>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</si>
  <si>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</si>
  <si>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</si>
  <si>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</si>
  <si>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</si>
  <si>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</si>
  <si>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</si>
  <si>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</si>
  <si>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</si>
  <si>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</si>
  <si>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</si>
  <si>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</si>
  <si>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</si>
  <si>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</si>
  <si>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</si>
  <si>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</si>
  <si>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</si>
  <si>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</si>
  <si>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Marketable, Continued: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</si>
  <si>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</si>
  <si>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</si>
  <si>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</si>
  <si>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</si>
  <si>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</si>
  <si>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</si>
  <si>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HE0</t>
  </si>
  <si>
    <t>912827  3X8</t>
  </si>
  <si>
    <t>912828  AJ9</t>
  </si>
  <si>
    <t>HF7</t>
  </si>
  <si>
    <t>912827  4F6</t>
  </si>
  <si>
    <t>USAO/ARTEMIS Settlement Account.................................................................................................................................................................…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</si>
  <si>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</si>
  <si>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</si>
  <si>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</si>
  <si>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</si>
  <si>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</si>
  <si>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</si>
  <si>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20X8212</t>
  </si>
  <si>
    <t>Energy Employees Occupational Illness Compensation Fund.................................................................................................................................................................…</t>
  </si>
  <si>
    <t>Land Between the Lakes Trust Fund..................................................................................................................</t>
  </si>
  <si>
    <t>9-7/8</t>
  </si>
  <si>
    <t>9-1/4</t>
  </si>
  <si>
    <t>9</t>
  </si>
  <si>
    <t>Total Unmatured United States Savings Securities....................................................</t>
  </si>
  <si>
    <t>These securities are not eligible for stripping and reconstitution, see Table V, "Holdings of Treasury Securities in Stripped Form".</t>
  </si>
  <si>
    <t xml:space="preserve">  c   f</t>
  </si>
  <si>
    <t>8-1/8</t>
  </si>
  <si>
    <t>Treasury Inflation-Indexed Notes:</t>
  </si>
  <si>
    <t>3-5/8</t>
  </si>
  <si>
    <t>3-3/8</t>
  </si>
  <si>
    <t>Treasury Inflation-Indexed Bonds:</t>
  </si>
  <si>
    <t xml:space="preserve"> Various</t>
  </si>
  <si>
    <t>Domestic Series:</t>
  </si>
  <si>
    <t>6R8</t>
  </si>
  <si>
    <t>3-1/2</t>
  </si>
  <si>
    <t>ENERGY EMPLOYEES OCCUPATIONAL ILLNESS COMPENSATION FUND</t>
  </si>
  <si>
    <t>16X1523</t>
  </si>
  <si>
    <t>ENVIRONMENTAL IMPROVEMENT AND RESTORATION FUND</t>
  </si>
  <si>
    <t>14X5425</t>
  </si>
  <si>
    <t>ESTHER CATTELL SCHMITT GIFT FUND, TREASURY</t>
  </si>
  <si>
    <t>20X8902</t>
  </si>
  <si>
    <t>EXCHANGE STABILIZATION FUND, OFFICE OF THE SECRETARY, TREASURY</t>
  </si>
  <si>
    <t>20X44441</t>
  </si>
  <si>
    <t>EXPENSES, PRESIDIO TRUST</t>
  </si>
  <si>
    <t>95X4331</t>
  </si>
  <si>
    <t>EXPENSES AND REFUNDS, INSPECTION AND GRADING OF FARM PRODUCTS, AGRICULTURAL MARKETING SERVICE</t>
  </si>
  <si>
    <t>12X8015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</si>
  <si>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</si>
  <si>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</si>
  <si>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</si>
  <si>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GIFTS AND DONATIONS, NATIONAL ENDOWMENT FOR THE HUMANITIES</t>
  </si>
  <si>
    <t>59X8050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</si>
  <si>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</si>
  <si>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</si>
  <si>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</si>
  <si>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</si>
  <si>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</si>
  <si>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</si>
  <si>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HARRY S. TRUMAN MEMORIAL SCHOLARSHIP TRUST FUND, HARRY S. TRUMAN SCHOLARSHIP FOUNDATION</t>
  </si>
  <si>
    <t>95X8296</t>
  </si>
  <si>
    <t>HAZARDOUS SUBSTANCE SUPERFUND</t>
  </si>
  <si>
    <t>20X8145</t>
  </si>
  <si>
    <t>HIGHWAY TRUST FUND</t>
  </si>
  <si>
    <t>20X81022</t>
  </si>
  <si>
    <t>INLAND WATERWAYS TRUST FUND</t>
  </si>
  <si>
    <t>20X8861</t>
  </si>
  <si>
    <t>912828  BY5</t>
  </si>
  <si>
    <t>JV0</t>
  </si>
  <si>
    <t>BZ2</t>
  </si>
  <si>
    <t>JW8</t>
  </si>
  <si>
    <t>CA6</t>
  </si>
  <si>
    <t>JX6</t>
  </si>
  <si>
    <t>QW4</t>
  </si>
  <si>
    <t>BX7</t>
  </si>
  <si>
    <t>JU2</t>
  </si>
  <si>
    <t>Uranium Enrichment and Decommissioning Fund, Department of Energy.........................................................................................................</t>
  </si>
  <si>
    <t>4-5/8</t>
  </si>
  <si>
    <t>Utah Reclamation Mitigation and Conservation Account, Interior........................................................................................................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</si>
  <si>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</si>
  <si>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</si>
  <si>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AM2</t>
  </si>
  <si>
    <t>HJ9</t>
  </si>
  <si>
    <t>Zero-coupon Treasury Bond.......................................</t>
  </si>
  <si>
    <t>Federal Ship Financing Escrow Fund, Maritime Administration...............................................................................…</t>
  </si>
  <si>
    <t>February 2004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</si>
  <si>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</si>
  <si>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</si>
  <si>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Unearned Copyright Fees, Library Of Congress.................................................................................................................................................................…</t>
  </si>
  <si>
    <t>BM1</t>
  </si>
  <si>
    <t>PT2</t>
  </si>
  <si>
    <t>Wage and Hour and Public Contracts Restitution Fund, Labor...............................................................................…</t>
  </si>
  <si>
    <t xml:space="preserve">    and Enforcement.................................................................................................................................................................…</t>
  </si>
  <si>
    <t xml:space="preserve">    General Hospital.................................................................................................................................................................…</t>
  </si>
  <si>
    <t>Panama Canal Commission Dissolution Fund......................................................................................................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</si>
  <si>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</si>
  <si>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</si>
  <si>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</si>
  <si>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BE9</t>
  </si>
  <si>
    <t>JB4</t>
  </si>
  <si>
    <t xml:space="preserve"> DB1</t>
  </si>
  <si>
    <t xml:space="preserve"> DF2</t>
  </si>
  <si>
    <t xml:space="preserve"> DJ4</t>
  </si>
  <si>
    <t xml:space="preserve"> DL9</t>
  </si>
  <si>
    <t xml:space="preserve"> DN5</t>
  </si>
  <si>
    <t>912828  AH3</t>
  </si>
  <si>
    <t>FHA - Liquidating Account, Housing and Urban Development.......................................................................................................................................................…</t>
  </si>
  <si>
    <t xml:space="preserve"> DP0</t>
  </si>
  <si>
    <t>DS4</t>
  </si>
  <si>
    <t>DT2</t>
  </si>
  <si>
    <t>DV7</t>
  </si>
  <si>
    <t>DW5</t>
  </si>
  <si>
    <t xml:space="preserve"> DX3</t>
  </si>
  <si>
    <t>DY1</t>
  </si>
  <si>
    <t>DZ8</t>
  </si>
  <si>
    <t xml:space="preserve"> EA2</t>
  </si>
  <si>
    <t>EB0</t>
  </si>
  <si>
    <t>EC8</t>
  </si>
  <si>
    <t>ED6</t>
  </si>
  <si>
    <t>EE4</t>
  </si>
  <si>
    <t>EF1</t>
  </si>
  <si>
    <t>EG9</t>
  </si>
  <si>
    <t>EH7</t>
  </si>
  <si>
    <t xml:space="preserve"> EJ3</t>
  </si>
  <si>
    <t>EK0</t>
  </si>
  <si>
    <t>EL8</t>
  </si>
  <si>
    <t>EM6</t>
  </si>
  <si>
    <t>EN4</t>
  </si>
  <si>
    <t xml:space="preserve"> EP9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</si>
  <si>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</si>
  <si>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</si>
  <si>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</si>
  <si>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</si>
  <si>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</si>
  <si>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</si>
  <si>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</si>
  <si>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</si>
  <si>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</si>
  <si>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</si>
  <si>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</si>
  <si>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</si>
  <si>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</si>
  <si>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</si>
  <si>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</si>
  <si>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</si>
  <si>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</si>
  <si>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Mar. 31, 2004</t>
  </si>
  <si>
    <t>Mar. 31, 2003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</si>
  <si>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</si>
  <si>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</si>
  <si>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</si>
  <si>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The minimum holding period has been extended from 6 to 12 months, effective with issues dated on and after February 1, 2003.  Series EE and I Savings Bonds</t>
  </si>
  <si>
    <t>bearing issue dates prior to February 2003 retain the 6 month minimum holding period from the date of issue at which time they may be redeemed at the</t>
  </si>
  <si>
    <t xml:space="preserve">option of the owner. </t>
  </si>
  <si>
    <t>Treasury Deposit Funds.................................................................................................................................................................…</t>
  </si>
  <si>
    <t>10/31-04/30</t>
  </si>
  <si>
    <t>09/30-03/31</t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</si>
  <si>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</si>
  <si>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</si>
  <si>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</si>
  <si>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</si>
  <si>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</si>
  <si>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</si>
  <si>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</si>
  <si>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08/31-02/29</t>
  </si>
  <si>
    <t>10/15-04/15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</si>
  <si>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</si>
  <si>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</si>
  <si>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BW2</t>
  </si>
  <si>
    <t>Harbor Maintenance Trust Fund............................................................................................................................................</t>
  </si>
  <si>
    <t>Veterans Reopened Insurance Fund...........................................................................................................................</t>
  </si>
  <si>
    <t>Veterans Special Life Insurance Fund, Trust Revolving Fund, Department of</t>
  </si>
  <si>
    <t xml:space="preserve">  FA1</t>
  </si>
  <si>
    <t>QA2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</si>
  <si>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</si>
  <si>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</si>
  <si>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</si>
  <si>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CG6</t>
  </si>
  <si>
    <t>DZ7</t>
  </si>
  <si>
    <t>EA1</t>
  </si>
  <si>
    <t>6T4</t>
  </si>
  <si>
    <t>FP8</t>
  </si>
  <si>
    <t>3</t>
  </si>
  <si>
    <t>Marketing Services, Agricultural Marketing Service..................................................................................................................................................…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</si>
  <si>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</si>
  <si>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</si>
  <si>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(*)</t>
  </si>
  <si>
    <t>National Security Education Trust Fund..................................................................................................................…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</si>
  <si>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</si>
  <si>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</si>
  <si>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</si>
  <si>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</si>
  <si>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</si>
  <si>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</si>
  <si>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BJ8</t>
  </si>
  <si>
    <t>02/29-08/31</t>
  </si>
  <si>
    <t>BK5</t>
  </si>
  <si>
    <t>3-1/8</t>
  </si>
  <si>
    <t>03/15-09/15</t>
  </si>
  <si>
    <t>JG3</t>
  </si>
  <si>
    <t>JF5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</si>
  <si>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</si>
  <si>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</si>
  <si>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912810  CG1</t>
  </si>
  <si>
    <t>Iranian Claims Settlement Fund, Treasury Department....................................................................................................................................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</si>
  <si>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</si>
  <si>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</si>
  <si>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Gifts and Donations, National Endowment for the Humanities..................................................................................................................</t>
  </si>
  <si>
    <t>Perishable Agricultural Commodities Act, Agricultural Marketing Service..........................................................................................................................</t>
  </si>
  <si>
    <t>02/15-08/15</t>
  </si>
  <si>
    <t>K</t>
  </si>
  <si>
    <t>5-1/2</t>
  </si>
  <si>
    <t>02/28-08/31</t>
  </si>
  <si>
    <t>L</t>
  </si>
  <si>
    <t>03/31-09/30</t>
  </si>
  <si>
    <t>6-1/4</t>
  </si>
  <si>
    <t>F</t>
  </si>
  <si>
    <t>7</t>
  </si>
  <si>
    <t>04/15-10/15</t>
  </si>
  <si>
    <t>M</t>
  </si>
  <si>
    <t>6-1/2</t>
  </si>
  <si>
    <t>04/30-10/31</t>
  </si>
  <si>
    <t>B</t>
  </si>
  <si>
    <t>9-1/8</t>
  </si>
  <si>
    <t>05/15-11/15</t>
  </si>
  <si>
    <t>N</t>
  </si>
  <si>
    <t>6-3/4</t>
  </si>
  <si>
    <t>05/31-11/30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</si>
  <si>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</si>
  <si>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</si>
  <si>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</si>
  <si>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</si>
  <si>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</si>
  <si>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</si>
  <si>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</si>
  <si>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</si>
  <si>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</si>
  <si>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</si>
  <si>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</si>
  <si>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</si>
  <si>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</si>
  <si>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</si>
  <si>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</si>
  <si>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</si>
  <si>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</si>
  <si>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</si>
  <si>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</si>
  <si>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</si>
  <si>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</si>
  <si>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</si>
  <si>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</si>
  <si>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</si>
  <si>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</si>
  <si>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</si>
  <si>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</si>
  <si>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</si>
  <si>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</si>
  <si>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</si>
  <si>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12-3/8</t>
  </si>
  <si>
    <t>13-3/4</t>
  </si>
  <si>
    <t>10-3/8</t>
  </si>
  <si>
    <t>10</t>
  </si>
  <si>
    <t>12</t>
  </si>
  <si>
    <t>12-3/4</t>
  </si>
  <si>
    <t>9-3/8</t>
  </si>
  <si>
    <t>13-7/8</t>
  </si>
  <si>
    <t>14</t>
  </si>
  <si>
    <t>13-1/4</t>
  </si>
  <si>
    <t>12-1/2</t>
  </si>
  <si>
    <t>11-1/4</t>
  </si>
  <si>
    <t>10-5/8</t>
  </si>
  <si>
    <t>Panama Canal Commission Compensation Fund......................................................................................................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</si>
  <si>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</si>
  <si>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912828  AQ3</t>
  </si>
  <si>
    <t>AR1</t>
  </si>
  <si>
    <t>912827  S86</t>
  </si>
  <si>
    <t>1-3/4</t>
  </si>
  <si>
    <t>HM2</t>
  </si>
  <si>
    <t>HN0</t>
  </si>
  <si>
    <t>basis (360 days a year) as indicated.  Effective November 10, 1997,  three decimal bidding, in .005 percent increments, is required for regular Treasury Bill</t>
  </si>
  <si>
    <t>BL3</t>
  </si>
  <si>
    <t>JH1</t>
  </si>
  <si>
    <t>Pension Benefit Guaranty Corporation..........................................................................................................................</t>
  </si>
  <si>
    <t>QX2</t>
  </si>
  <si>
    <t>Aviation Insurance Revolving Fund..................................................................................................................................…</t>
  </si>
  <si>
    <t>07/31-01/31</t>
  </si>
  <si>
    <t>7J5</t>
  </si>
  <si>
    <t>BC3</t>
  </si>
  <si>
    <t>912828  BB5</t>
  </si>
  <si>
    <t>HZ3</t>
  </si>
  <si>
    <t>PZ8</t>
  </si>
  <si>
    <t xml:space="preserve">    National Credit Union Administration.................................................................................................................................................................…</t>
  </si>
  <si>
    <t>GT8</t>
  </si>
  <si>
    <t>Nuclear Waste Disposal Fund, Department of Energy..............................................................................................................................</t>
  </si>
  <si>
    <t>6X5</t>
  </si>
  <si>
    <t>912828  AV2</t>
  </si>
  <si>
    <t>1-1/2</t>
  </si>
  <si>
    <t>HS9</t>
  </si>
  <si>
    <t>Leaking Underground Storage Tank Trust Fund..................................................................................................................</t>
  </si>
  <si>
    <t>Library of Congress Trust Fund.......................................................................................................................................</t>
  </si>
  <si>
    <t>7B2</t>
  </si>
  <si>
    <t>GL5</t>
  </si>
  <si>
    <t>Morris K. Udall Scholarship and Excellence in National Environmental</t>
  </si>
  <si>
    <t>Natural Resource Damage Assessment and Restoration Fund, U.S. Fish</t>
  </si>
  <si>
    <t>Total Marketable consists of short-term debt (1 year and less) of $984,970 million, long-term debt (greater than 1 year) of $2,736,130 million and</t>
  </si>
  <si>
    <t>matured debt of $114 million.</t>
  </si>
  <si>
    <t>Total Nonmarketable consists of short-term debt (1 year and less) of $338,136 million, long-term debt (greater than 1 year) of $3,060,735 million and</t>
  </si>
  <si>
    <t>matured debt of $10,982 million.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</si>
  <si>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</si>
  <si>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</si>
  <si>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</si>
  <si>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</si>
  <si>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Public Debt Outstanding......................................................................…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</si>
  <si>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</si>
  <si>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</si>
  <si>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QB0</t>
  </si>
  <si>
    <t>QC8</t>
  </si>
  <si>
    <t>QD6</t>
  </si>
  <si>
    <t>QE4</t>
  </si>
  <si>
    <t>912827  W81</t>
  </si>
  <si>
    <t>912828  BS8</t>
  </si>
  <si>
    <t>JP3</t>
  </si>
  <si>
    <t>BU3</t>
  </si>
  <si>
    <t>JR9</t>
  </si>
  <si>
    <t>BT6</t>
  </si>
  <si>
    <t>06/15-12/15</t>
  </si>
  <si>
    <t>JQ1</t>
  </si>
  <si>
    <t>Assessment Funds, Office of the Comptroller of the Currency...........................................................………….......................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</si>
  <si>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</si>
  <si>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</si>
  <si>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</si>
  <si>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</si>
  <si>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Nonmarketable.......................................................................................................................................................................................................</t>
  </si>
  <si>
    <t>Total Treasury Notes................................................................</t>
  </si>
  <si>
    <t>Total Treasury Bonds....................................................................</t>
  </si>
  <si>
    <t>NATIVE AMERICAN INSTITUTIONS ENDOWMENT FUND</t>
  </si>
  <si>
    <t>12X5205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</si>
  <si>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</si>
  <si>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</si>
  <si>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</si>
  <si>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</si>
  <si>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OIL SPILL LIABILITY TRUST FUND</t>
  </si>
  <si>
    <t>20X8185</t>
  </si>
  <si>
    <t>OLIVER WENDELL HOMES DEVISE FUND, LIBRARY OF CONGRESS</t>
  </si>
  <si>
    <t>03X5075</t>
  </si>
  <si>
    <t>OPERATING FUND, NATIONAL CREDIT UNION ADMINISTRATION</t>
  </si>
  <si>
    <t>25X4056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</si>
  <si>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</si>
  <si>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</si>
  <si>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</si>
  <si>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</si>
  <si>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</si>
  <si>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</si>
  <si>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PANAMA CANAL COMMISSION DISSOLUTION FUND</t>
  </si>
  <si>
    <t>95X4073</t>
  </si>
  <si>
    <t>PATIENTS BENEFIT FUND, NATIONAL INSTITUTES OF HEALTH</t>
  </si>
  <si>
    <t>75X8888</t>
  </si>
  <si>
    <t>PAYMENTS TO COPYRIGHT OWNERS, COPYRIGHT OFFICE, LIBRARY OF CONGRESS</t>
  </si>
  <si>
    <t>03X5175</t>
  </si>
  <si>
    <t>PENSION BENEFIT GUARANTY CORPORATION</t>
  </si>
  <si>
    <t>16X4204</t>
  </si>
  <si>
    <t>PERISHABLE AGRICULTURAL COMMODITIES ACT, AGRICULTURAL MARKETING SERVICE</t>
  </si>
  <si>
    <t>12X5070</t>
  </si>
  <si>
    <t>POSTAL SERVICE FUND</t>
  </si>
  <si>
    <t>18X4020</t>
  </si>
  <si>
    <t>POWER SYSTEMS, INDIAN IRRIGATION PROJECTS, BUREAU OF INDIAN AFFAIRS</t>
  </si>
  <si>
    <t>14X5648</t>
  </si>
  <si>
    <t>PRESERVATION, BIRTHPLACE OF ABRAHAM LINCOLN, NATIONAL PARK SERVICE</t>
  </si>
  <si>
    <t>14X8052</t>
  </si>
  <si>
    <t>PRISON INDUSTRIES FUND, DEPARTMENT OF JUSTICE</t>
  </si>
  <si>
    <t>15X4500</t>
  </si>
  <si>
    <t xml:space="preserve"> Series I..............................................................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</si>
  <si>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</si>
  <si>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</si>
  <si>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</si>
  <si>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</si>
  <si>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</si>
  <si>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AW0</t>
  </si>
  <si>
    <t>HT7</t>
  </si>
  <si>
    <t>Nonmarketable--Continued:</t>
  </si>
  <si>
    <t>Abandoned Mines Reclamation Fund, Office of Surface Mining Reclamation</t>
  </si>
  <si>
    <t>Fiscal Year 2003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</si>
  <si>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</si>
  <si>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</si>
  <si>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</si>
  <si>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</si>
  <si>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</si>
  <si>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</si>
  <si>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</si>
  <si>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</si>
  <si>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</si>
  <si>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</si>
  <si>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</si>
  <si>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</si>
  <si>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Belize Escrow, Debt Reduction, Treasury.........................................................................................................................…</t>
  </si>
  <si>
    <t>Public Enterprise Revolving Fund, Office of Thrift Supervision, Treasury...........................................................................................................................................................…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</si>
  <si>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</si>
  <si>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</si>
  <si>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912810  FD5</t>
  </si>
  <si>
    <t>District of Columbia Pension Liability Trust Fund.............................................................................................................................................</t>
  </si>
  <si>
    <t>Bills are sold by competitive bidding on a bank discount yield basis.  The sale price of these securities gives an approximate yield on a  bank discount</t>
  </si>
  <si>
    <t>For price and yield ranges of unmatured securities issued at a premium or discount see Table 3, Public Debt Operations of the quarterly Treasury Bulletin.</t>
  </si>
  <si>
    <t>Redeemable at option of United States on and after dates indicated, unless otherwise shown, but only on interest dates on 4 months' notice.</t>
  </si>
  <si>
    <t>Redeemable on demand.</t>
  </si>
  <si>
    <t xml:space="preserve">  FG8</t>
  </si>
  <si>
    <t xml:space="preserve">  FB9</t>
  </si>
  <si>
    <t>MARCH 31, 2004</t>
  </si>
  <si>
    <t>TABLE I -- SUMMARY OF TREASURY SECURITIES OUTSTANDING, MARCH 31, 2004</t>
  </si>
  <si>
    <t>TABLE II -- STATUTORY DEBT LIMIT, MARCH 31, 2004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</si>
  <si>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MARCH 31, 2004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</si>
  <si>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MARCH 31, 2004 -- Continued</t>
    </r>
  </si>
  <si>
    <t>TABLE IV - HISTORICAL DATA, MARCH 31, 2004</t>
  </si>
  <si>
    <t>TABLE V - HOLDINGS OF TREASURY SECURITIES IN STRIPPED FORM, MARCH 31, 2004</t>
  </si>
  <si>
    <t>Host Nation Support for U.S. Relocation Activities Account.......................................................................................................................................................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</si>
  <si>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</si>
  <si>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</si>
  <si>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</si>
  <si>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</si>
  <si>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>National Gift Fund, National Archives and Records Administration...............................................................…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</si>
  <si>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</si>
  <si>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</si>
  <si>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</si>
  <si>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</si>
  <si>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</si>
  <si>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</si>
  <si>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CF8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</si>
  <si>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</si>
  <si>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</si>
  <si>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</si>
  <si>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EK9</t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</si>
  <si>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</si>
  <si>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</si>
  <si>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.</t>
  </si>
  <si>
    <t>Marketable, Treasury Bonds:</t>
  </si>
  <si>
    <t>Preservation, Birthplace of Abraham Lincoln, National Park Service......................................................................................…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</si>
  <si>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</si>
  <si>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</si>
  <si>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</si>
  <si>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</si>
  <si>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</si>
  <si>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</si>
  <si>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FEDERAL SHIP FINANCING ESCROW FUND, MARITIME ADMINISTRATION</t>
  </si>
  <si>
    <t>69X6012</t>
  </si>
  <si>
    <t>GIFTS, CENTRAL INTELLIGENCE AGENCY</t>
  </si>
  <si>
    <t>56X6146</t>
  </si>
  <si>
    <t>INDIVIDUAL INDIAN MONEY, BUREAU OF INDIAN AFFAIRS</t>
  </si>
  <si>
    <t>14X6039</t>
  </si>
  <si>
    <t>KUUKPIK ALASKA ESCROW FUND</t>
  </si>
  <si>
    <t>14X6029</t>
  </si>
  <si>
    <t>German Democratic Republic Settlement Fund.........................................................................................................</t>
  </si>
  <si>
    <t>912827  T85</t>
  </si>
  <si>
    <t>Federal Supplementary Medical Insurance Trust Fund............................................................................................................................................................…</t>
  </si>
  <si>
    <t>PY1</t>
  </si>
  <si>
    <t>Foreign Service Retirement and Disability Fund....................................................................................................................………</t>
  </si>
  <si>
    <t>912828  AD2</t>
  </si>
  <si>
    <t>912827  Q88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</si>
  <si>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</si>
  <si>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</si>
  <si>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</si>
  <si>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</si>
  <si>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CAPITOL PRESERVATION FUND, U. S. CAPITOL PRESERVATION COMMISSION</t>
  </si>
  <si>
    <t>09X8300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</si>
  <si>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</si>
  <si>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</si>
  <si>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</si>
  <si>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</si>
  <si>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</si>
  <si>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</si>
  <si>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</si>
  <si>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</si>
  <si>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COAST GUARD GENERAL GIFT FUND</t>
  </si>
  <si>
    <t>70X8533</t>
  </si>
  <si>
    <t>COMMUNITY DEVELOPMENT CREDIT UNION REVOLVING FUND, NATIONAL CREDIT UNION ADMINISTRATION</t>
  </si>
  <si>
    <t>25X4472</t>
  </si>
  <si>
    <t>CONDITIONAL GIFT FUND, GENERAL, DEPARTMENT OF STATE</t>
  </si>
  <si>
    <t>19X8822</t>
  </si>
  <si>
    <t>CONTRIBUTIONS, AMERICAN BATTLE MONUMENTS COMMISSION</t>
  </si>
  <si>
    <t>74X85692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</si>
  <si>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</si>
  <si>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</si>
  <si>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</si>
  <si>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</si>
  <si>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</si>
  <si>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</si>
  <si>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</si>
  <si>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</si>
  <si>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Total Domestic Series....................................................</t>
  </si>
  <si>
    <t>Foreign Series:</t>
  </si>
  <si>
    <t>d</t>
  </si>
  <si>
    <t>Department of Defense, Medicare Retire Fund.....................................................................................................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</si>
  <si>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</si>
  <si>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</si>
  <si>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</si>
  <si>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</si>
  <si>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</si>
  <si>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</si>
  <si>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Thrift Savings Fund, Federal Retirement Thrift Investment Board….……....….......…</t>
  </si>
  <si>
    <t>Coast Guard General Gift Fund..........................................................................................................................................…</t>
  </si>
  <si>
    <t>HY6</t>
  </si>
  <si>
    <t>State and Local Government Series: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</si>
  <si>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</si>
  <si>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</si>
  <si>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</si>
  <si>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</si>
  <si>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</si>
  <si>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</si>
  <si>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</si>
  <si>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</si>
  <si>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</si>
  <si>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United States Savings Securities:</t>
  </si>
  <si>
    <t>United States Savings Bonds:</t>
  </si>
  <si>
    <t>United States Trustee System Fund, Justice..........................................................................................................................</t>
  </si>
  <si>
    <t>1-1/8</t>
  </si>
  <si>
    <t>7L0</t>
  </si>
  <si>
    <t>4-7/8</t>
  </si>
  <si>
    <t>GV3</t>
  </si>
  <si>
    <t>AX8</t>
  </si>
  <si>
    <t>HU4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</si>
  <si>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</si>
  <si>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</si>
  <si>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</si>
  <si>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</si>
  <si>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</si>
  <si>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t>Servicemen's Group Life Insurance Fund................................................................................................................................</t>
  </si>
  <si>
    <t>EE3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</si>
  <si>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</si>
  <si>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1-5/8</t>
  </si>
  <si>
    <t>AS9</t>
  </si>
  <si>
    <t>HP5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</si>
  <si>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</si>
  <si>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</si>
  <si>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>Tax Court Judges Survivors Annuity Fund.............................................................................................................................</t>
  </si>
  <si>
    <t>Treasury Forfeiture Fund.................................................................................................................................................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</si>
  <si>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</si>
  <si>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</si>
  <si>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>912820 BV8</t>
  </si>
  <si>
    <t xml:space="preserve">     Office of Personnel Management.................................................................................................................................................................…</t>
  </si>
  <si>
    <t>Custodial Tribal Fund, Office of the Special Trustee for American Indians...............................................................................…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</si>
  <si>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</si>
  <si>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</si>
  <si>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</si>
  <si>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</si>
  <si>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DEPOSITS, OUTER CONTINENTAL SHELF LANDS ACT, BONUS BIDS, MINERALS MANAGEMENT SERVICE</t>
  </si>
  <si>
    <t>14X6705</t>
  </si>
  <si>
    <t>USAO / ARTEMIS SETTLEMENT ACCOUNT</t>
  </si>
  <si>
    <t>15X6118</t>
  </si>
  <si>
    <t>FEDERAL HOUSING ADMINISTRATION - FLEXIBLE SUBSIDE FUND, HOUSING PROGRAMS, HOUSING AND URBAN DEVELOPMENT</t>
  </si>
  <si>
    <t>86X4044</t>
  </si>
  <si>
    <t>FEDERAL HOUSING ADMINISTRATION - HOMEOWNER ASSISTANCE FUND, HOUSING PROGRAMS, HOUSING AND URBAN DEVELOPMENT</t>
  </si>
  <si>
    <t>86X4043</t>
  </si>
  <si>
    <t>SAN GABRIEL BASIN RESTORATION FUND</t>
  </si>
  <si>
    <t>14X5483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</si>
  <si>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</si>
  <si>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</t>
  </si>
  <si>
    <t xml:space="preserve">Deposits, Outer Continental Shelf Lands Act, Bonus Bids, </t>
  </si>
  <si>
    <t>Minerals Management Service..............................................................................................................................................…</t>
  </si>
  <si>
    <t xml:space="preserve">FHA- Homeowner Assistance Fund, Housing Programs, </t>
  </si>
  <si>
    <t>San Gabriel Basin Restoration Fund.................................................................................................................................................................…</t>
  </si>
  <si>
    <t xml:space="preserve">FHA- Flexible Subside Fund, Housing Programs, </t>
  </si>
  <si>
    <t>Overseas Private Investment Corporation, Insurance and Equity Non Credit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</si>
  <si>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</si>
  <si>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</si>
  <si>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PX3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</si>
  <si>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</si>
  <si>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>4Y5</t>
  </si>
  <si>
    <t>Fiscal Year 2004 to Date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</si>
  <si>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</si>
  <si>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</si>
  <si>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</si>
  <si>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</si>
  <si>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</si>
  <si>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</si>
  <si>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</si>
  <si>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</si>
  <si>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</si>
  <si>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</si>
  <si>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</si>
  <si>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</si>
  <si>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</si>
  <si>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</si>
  <si>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</si>
  <si>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</si>
  <si>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</si>
  <si>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</si>
  <si>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FX0</t>
  </si>
  <si>
    <t>CK7</t>
  </si>
  <si>
    <t xml:space="preserve">   Housing and Urban Development............................................................................................................................................................…</t>
  </si>
  <si>
    <t>3-1/4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</si>
  <si>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</si>
  <si>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</si>
  <si>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t>Inflation-Indexed Notes..................................................................................…</t>
  </si>
  <si>
    <t>Inflation-Indexed Bonds..................................................................................…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</si>
  <si>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</si>
  <si>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</si>
  <si>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</si>
  <si>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</si>
  <si>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t>Farm Credit Insurance Fund, Capital Corporation Investment Fund, Farm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</si>
  <si>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</si>
  <si>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</si>
  <si>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</si>
  <si>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</si>
  <si>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</si>
  <si>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912827 2M3</t>
  </si>
  <si>
    <t>2-1/4</t>
  </si>
  <si>
    <t>HD2</t>
  </si>
  <si>
    <t>912828  AF7</t>
  </si>
  <si>
    <t>HC4</t>
  </si>
  <si>
    <t>AG5</t>
  </si>
  <si>
    <t>The difference between the price paid for a Treasury Bill and the amount received at redemption upon maturity is treated as ordinary income.  If the bill is</t>
  </si>
  <si>
    <t xml:space="preserve">  EZ7</t>
  </si>
  <si>
    <t>sold before maturity, part of the difference between the holder's basis (cost) and the gain realized may be treated as capital gain and part may be treated</t>
  </si>
  <si>
    <t>as ordinary income.  Under Section 1281 of the Internal Revenue Code, some holder of Treasury Bills are required to include currently in income a portion</t>
  </si>
  <si>
    <t>of the discount accruing in the taxable year.</t>
  </si>
  <si>
    <t>4</t>
  </si>
  <si>
    <t>The subscription price is $44.00 per year (domestic), $61.60 per year (foreign).  No single copies are sold.</t>
  </si>
  <si>
    <t>Oil Spill Liability Trust Fund.............................................................................................................................................</t>
  </si>
  <si>
    <t>John C. Stennis Center for Public Service Training and Development.................................................................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</si>
  <si>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</si>
  <si>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</si>
  <si>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</si>
  <si>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</si>
  <si>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USAO / CDR-ENTERPRISE SETTLEMENT FUND</t>
  </si>
  <si>
    <t>15X6119</t>
  </si>
  <si>
    <t>DEFENSE COOPERATION ACCOUNT, DEFENSE</t>
  </si>
  <si>
    <t>97X5187</t>
  </si>
  <si>
    <t>DC</t>
  </si>
  <si>
    <t>HOST NATION SUPPORT FOR U. S. RELOCATION ACTIVITIES ACCOUNT</t>
  </si>
  <si>
    <t>97X8337</t>
  </si>
  <si>
    <t>OKLAHOMA CITY NATIONAL MEMORIAL TRUST FUND</t>
  </si>
  <si>
    <t>95X4333</t>
  </si>
  <si>
    <t>USAO/CDR-Enterprise Settlement Fund........................................................................................................................…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</si>
  <si>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</si>
  <si>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</si>
  <si>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</si>
  <si>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</si>
  <si>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>Federal Supplemental District of Columbia Pension Fund..................................................................................................................................................................................………</t>
  </si>
  <si>
    <t>Defense Cooperation Account.....................................................................................................</t>
  </si>
  <si>
    <t>Oklahoma City National Memorial Trust Fund.............................................................................................................................................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</si>
</sst>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</numFmts>
  <fonts count="3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  <font>
      <b/>
      <u val="double"/>
      <sz val="12"/>
      <color indexed="8"/>
      <name val="Arial"/>
      <family val="2"/>
    </font>
    <font>
      <u val="doub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166" fontId="0" fillId="0" borderId="9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166" fontId="9" fillId="0" borderId="5" xfId="0" applyNumberFormat="1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"/>
    </xf>
    <xf numFmtId="37" fontId="0" fillId="0" borderId="5" xfId="0" applyNumberFormat="1" applyBorder="1" applyAlignment="1" applyProtection="1">
      <alignment horizontal="right"/>
      <protection/>
    </xf>
    <xf numFmtId="166" fontId="0" fillId="0" borderId="5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9" fontId="6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166" fontId="0" fillId="0" borderId="5" xfId="0" applyNumberFormat="1" applyBorder="1" applyAlignment="1" applyProtection="1" quotePrefix="1">
      <alignment horizontal="centerContinuous"/>
      <protection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Continuous"/>
    </xf>
    <xf numFmtId="37" fontId="0" fillId="0" borderId="14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69" fontId="6" fillId="0" borderId="0" xfId="0" applyNumberFormat="1" applyFont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37" fontId="0" fillId="0" borderId="21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5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21" xfId="0" applyFont="1" applyBorder="1" applyAlignment="1">
      <alignment/>
    </xf>
    <xf numFmtId="37" fontId="9" fillId="0" borderId="22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5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 quotePrefix="1">
      <alignment/>
      <protection/>
    </xf>
    <xf numFmtId="0" fontId="0" fillId="0" borderId="5" xfId="0" applyBorder="1" applyAlignment="1" quotePrefix="1">
      <alignment horizontal="center"/>
    </xf>
    <xf numFmtId="0" fontId="7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6" xfId="0" applyNumberFormat="1" applyFont="1" applyBorder="1" applyAlignment="1">
      <alignment horizontal="centerContinuous"/>
    </xf>
    <xf numFmtId="49" fontId="0" fillId="0" borderId="24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7" fontId="0" fillId="0" borderId="2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NumberFormat="1" applyAlignment="1" applyProtection="1" quotePrefix="1">
      <alignment horizont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0" fillId="0" borderId="5" xfId="0" applyBorder="1" applyAlignment="1">
      <alignment horizontal="right"/>
    </xf>
    <xf numFmtId="0" fontId="0" fillId="0" borderId="26" xfId="0" applyBorder="1" applyAlignment="1">
      <alignment horizontal="centerContinuous"/>
    </xf>
    <xf numFmtId="37" fontId="0" fillId="0" borderId="4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 horizontal="right"/>
      <protection/>
    </xf>
    <xf numFmtId="0" fontId="18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right"/>
    </xf>
    <xf numFmtId="166" fontId="9" fillId="0" borderId="21" xfId="0" applyNumberFormat="1" applyFont="1" applyBorder="1" applyAlignment="1" applyProtection="1">
      <alignment horizontal="centerContinuous"/>
      <protection/>
    </xf>
    <xf numFmtId="0" fontId="8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"/>
    </xf>
    <xf numFmtId="37" fontId="9" fillId="0" borderId="21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180" fontId="0" fillId="0" borderId="4" xfId="15" applyNumberFormat="1" applyBorder="1" applyAlignment="1">
      <alignment horizontal="right"/>
    </xf>
    <xf numFmtId="180" fontId="6" fillId="0" borderId="4" xfId="15" applyNumberFormat="1" applyFont="1" applyBorder="1" applyAlignment="1">
      <alignment/>
    </xf>
    <xf numFmtId="180" fontId="9" fillId="0" borderId="27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/>
    </xf>
    <xf numFmtId="0" fontId="23" fillId="0" borderId="28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7" xfId="15" applyNumberFormat="1" applyFont="1" applyBorder="1" applyAlignment="1">
      <alignment/>
    </xf>
    <xf numFmtId="180" fontId="8" fillId="0" borderId="5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8" xfId="0" applyNumberFormat="1" applyFont="1" applyBorder="1" applyAlignment="1">
      <alignment/>
    </xf>
    <xf numFmtId="37" fontId="8" fillId="0" borderId="21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5" xfId="0" applyFont="1" applyBorder="1" applyAlignment="1">
      <alignment horizontal="centerContinuous"/>
    </xf>
    <xf numFmtId="166" fontId="6" fillId="0" borderId="5" xfId="0" applyNumberFormat="1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"/>
    </xf>
    <xf numFmtId="37" fontId="6" fillId="0" borderId="23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37" fontId="6" fillId="0" borderId="23" xfId="0" applyNumberFormat="1" applyFont="1" applyBorder="1" applyAlignment="1" applyProtection="1">
      <alignment horizontal="right"/>
      <protection/>
    </xf>
    <xf numFmtId="0" fontId="6" fillId="0" borderId="30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22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21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5" xfId="15" applyNumberFormat="1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180" fontId="8" fillId="0" borderId="14" xfId="15" applyNumberFormat="1" applyFont="1" applyBorder="1" applyAlignment="1">
      <alignment/>
    </xf>
    <xf numFmtId="180" fontId="8" fillId="0" borderId="32" xfId="0" applyNumberFormat="1" applyFont="1" applyBorder="1" applyAlignment="1">
      <alignment/>
    </xf>
    <xf numFmtId="0" fontId="25" fillId="0" borderId="5" xfId="0" applyFont="1" applyBorder="1" applyAlignment="1" quotePrefix="1">
      <alignment horizontal="right"/>
    </xf>
    <xf numFmtId="0" fontId="25" fillId="0" borderId="5" xfId="0" applyFont="1" applyBorder="1" applyAlignment="1">
      <alignment horizontal="right"/>
    </xf>
    <xf numFmtId="37" fontId="11" fillId="0" borderId="12" xfId="0" applyNumberFormat="1" applyFont="1" applyBorder="1" applyAlignment="1" applyProtection="1">
      <alignment/>
      <protection/>
    </xf>
    <xf numFmtId="0" fontId="1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/>
    </xf>
    <xf numFmtId="41" fontId="6" fillId="0" borderId="33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6" fillId="0" borderId="34" xfId="15" applyNumberFormat="1" applyFont="1" applyBorder="1" applyAlignment="1">
      <alignment/>
    </xf>
    <xf numFmtId="41" fontId="6" fillId="0" borderId="21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0" fillId="0" borderId="35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0" xfId="0" applyFont="1" applyAlignment="1" quotePrefix="1">
      <alignment horizontal="right"/>
    </xf>
    <xf numFmtId="37" fontId="0" fillId="0" borderId="14" xfId="0" applyNumberForma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 quotePrefix="1">
      <alignment horizontal="left" vertical="center"/>
    </xf>
    <xf numFmtId="3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177" fontId="0" fillId="0" borderId="5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right"/>
    </xf>
    <xf numFmtId="0" fontId="0" fillId="0" borderId="14" xfId="0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right"/>
    </xf>
    <xf numFmtId="177" fontId="0" fillId="0" borderId="1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 applyProtection="1">
      <alignment horizontal="center"/>
      <protection/>
    </xf>
    <xf numFmtId="37" fontId="0" fillId="0" borderId="39" xfId="0" applyNumberFormat="1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right"/>
    </xf>
    <xf numFmtId="14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/>
    </xf>
    <xf numFmtId="0" fontId="10" fillId="0" borderId="31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9" fillId="0" borderId="21" xfId="0" applyFont="1" applyBorder="1" applyAlignment="1">
      <alignment horizontal="right"/>
    </xf>
    <xf numFmtId="166" fontId="9" fillId="0" borderId="21" xfId="0" applyNumberFormat="1" applyFont="1" applyBorder="1" applyAlignment="1" applyProtection="1">
      <alignment horizontal="centerContinuous"/>
      <protection/>
    </xf>
    <xf numFmtId="0" fontId="8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40" xfId="0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18" xfId="0" applyNumberFormat="1" applyFont="1" applyBorder="1" applyAlignment="1">
      <alignment horizontal="centerContinuous"/>
    </xf>
    <xf numFmtId="7" fontId="0" fillId="0" borderId="40" xfId="0" applyNumberFormat="1" applyFont="1" applyBorder="1" applyAlignment="1">
      <alignment horizontal="centerContinuous"/>
    </xf>
    <xf numFmtId="0" fontId="0" fillId="0" borderId="41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7" fontId="28" fillId="0" borderId="0" xfId="0" applyNumberFormat="1" applyFont="1" applyAlignment="1">
      <alignment horizontal="centerContinuous"/>
    </xf>
    <xf numFmtId="0" fontId="4" fillId="0" borderId="18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31" xfId="15" applyNumberFormat="1" applyFont="1" applyBorder="1" applyAlignment="1">
      <alignment/>
    </xf>
    <xf numFmtId="37" fontId="9" fillId="0" borderId="21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31" xfId="0" applyNumberFormat="1" applyFont="1" applyBorder="1" applyAlignment="1">
      <alignment/>
    </xf>
    <xf numFmtId="37" fontId="16" fillId="0" borderId="21" xfId="0" applyNumberFormat="1" applyFont="1" applyBorder="1" applyAlignment="1">
      <alignment/>
    </xf>
    <xf numFmtId="37" fontId="8" fillId="0" borderId="42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6" xfId="15" applyNumberFormat="1" applyFont="1" applyBorder="1" applyAlignment="1">
      <alignment horizontal="right"/>
    </xf>
    <xf numFmtId="37" fontId="16" fillId="0" borderId="18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5" xfId="0" applyNumberFormat="1" applyFont="1" applyBorder="1" applyAlignment="1" quotePrefix="1">
      <alignment horizontal="centerContinuous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7" fillId="0" borderId="21" xfId="0" applyFont="1" applyBorder="1" applyAlignment="1">
      <alignment horizontal="left"/>
    </xf>
    <xf numFmtId="37" fontId="15" fillId="0" borderId="34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 horizontal="right"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/>
    </xf>
    <xf numFmtId="0" fontId="0" fillId="0" borderId="28" xfId="0" applyNumberFormat="1" applyFont="1" applyBorder="1" applyAlignment="1" quotePrefix="1">
      <alignment horizontal="center" vertical="center"/>
    </xf>
    <xf numFmtId="0" fontId="10" fillId="0" borderId="44" xfId="0" applyFont="1" applyBorder="1" applyAlignment="1">
      <alignment/>
    </xf>
    <xf numFmtId="0" fontId="0" fillId="0" borderId="45" xfId="0" applyNumberFormat="1" applyFont="1" applyBorder="1" applyAlignment="1" quotePrefix="1">
      <alignment horizontal="center"/>
    </xf>
    <xf numFmtId="0" fontId="0" fillId="0" borderId="25" xfId="0" applyNumberFormat="1" applyFont="1" applyBorder="1" applyAlignment="1" quotePrefix="1">
      <alignment horizontal="center" vertical="center"/>
    </xf>
    <xf numFmtId="37" fontId="0" fillId="0" borderId="46" xfId="0" applyNumberFormat="1" applyFont="1" applyBorder="1" applyAlignment="1">
      <alignment/>
    </xf>
    <xf numFmtId="41" fontId="0" fillId="0" borderId="25" xfId="15" applyNumberFormat="1" applyFont="1" applyBorder="1" applyAlignment="1">
      <alignment/>
    </xf>
    <xf numFmtId="37" fontId="0" fillId="0" borderId="47" xfId="0" applyNumberFormat="1" applyFont="1" applyBorder="1" applyAlignment="1">
      <alignment/>
    </xf>
    <xf numFmtId="166" fontId="0" fillId="0" borderId="21" xfId="0" applyNumberFormat="1" applyBorder="1" applyAlignment="1" applyProtection="1" quotePrefix="1">
      <alignment horizontal="centerContinuous"/>
      <protection/>
    </xf>
    <xf numFmtId="166" fontId="0" fillId="0" borderId="21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4" xfId="0" applyFont="1" applyBorder="1" applyAlignment="1" quotePrefix="1">
      <alignment horizontal="right"/>
    </xf>
    <xf numFmtId="0" fontId="0" fillId="0" borderId="48" xfId="0" applyFont="1" applyBorder="1" applyAlignment="1">
      <alignment/>
    </xf>
    <xf numFmtId="49" fontId="17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7" xfId="0" applyFont="1" applyBorder="1" applyAlignment="1" quotePrefix="1">
      <alignment horizontal="right"/>
    </xf>
    <xf numFmtId="0" fontId="25" fillId="0" borderId="17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6" xfId="0" applyNumberFormat="1" applyBorder="1" applyAlignment="1" applyProtection="1">
      <alignment/>
      <protection/>
    </xf>
    <xf numFmtId="177" fontId="0" fillId="0" borderId="49" xfId="0" applyNumberFormat="1" applyFont="1" applyBorder="1" applyAlignment="1" applyProtection="1">
      <alignment horizontal="center"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1" xfId="0" applyNumberFormat="1" applyFont="1" applyBorder="1" applyAlignment="1" applyProtection="1">
      <alignment horizontal="centerContinuous"/>
      <protection/>
    </xf>
    <xf numFmtId="37" fontId="0" fillId="0" borderId="48" xfId="0" applyNumberFormat="1" applyFont="1" applyBorder="1" applyAlignment="1" applyProtection="1">
      <alignment/>
      <protection/>
    </xf>
    <xf numFmtId="14" fontId="0" fillId="0" borderId="5" xfId="0" applyNumberForma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7" fontId="0" fillId="0" borderId="5" xfId="0" applyNumberFormat="1" applyFont="1" applyBorder="1" applyAlignment="1">
      <alignment horizontal="right"/>
    </xf>
    <xf numFmtId="169" fontId="29" fillId="0" borderId="21" xfId="0" applyNumberFormat="1" applyFont="1" applyBorder="1" applyAlignment="1" applyProtection="1">
      <alignment/>
      <protection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166" fontId="30" fillId="0" borderId="21" xfId="0" applyNumberFormat="1" applyFont="1" applyBorder="1" applyAlignment="1" applyProtection="1">
      <alignment horizontal="centerContinuous"/>
      <protection/>
    </xf>
    <xf numFmtId="169" fontId="29" fillId="0" borderId="21" xfId="0" applyNumberFormat="1" applyFont="1" applyBorder="1" applyAlignment="1" applyProtection="1">
      <alignment horizontal="centerContinuous"/>
      <protection/>
    </xf>
    <xf numFmtId="37" fontId="0" fillId="0" borderId="21" xfId="0" applyNumberFormat="1" applyFont="1" applyBorder="1" applyAlignment="1">
      <alignment horizontal="right"/>
    </xf>
    <xf numFmtId="37" fontId="0" fillId="0" borderId="32" xfId="0" applyNumberFormat="1" applyBorder="1" applyAlignment="1" applyProtection="1">
      <alignment horizontal="right"/>
      <protection/>
    </xf>
    <xf numFmtId="0" fontId="11" fillId="0" borderId="28" xfId="0" applyFont="1" applyBorder="1" applyAlignment="1">
      <alignment/>
    </xf>
    <xf numFmtId="0" fontId="11" fillId="0" borderId="18" xfId="0" applyFont="1" applyBorder="1" applyAlignment="1">
      <alignment/>
    </xf>
    <xf numFmtId="37" fontId="0" fillId="0" borderId="52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/>
      <protection/>
    </xf>
    <xf numFmtId="0" fontId="0" fillId="0" borderId="18" xfId="0" applyBorder="1" applyAlignment="1">
      <alignment horizontal="center"/>
    </xf>
    <xf numFmtId="0" fontId="18" fillId="0" borderId="18" xfId="0" applyFont="1" applyBorder="1" applyAlignment="1">
      <alignment horizontal="left" vertical="center"/>
    </xf>
    <xf numFmtId="166" fontId="0" fillId="0" borderId="18" xfId="0" applyNumberFormat="1" applyBorder="1" applyAlignment="1" applyProtection="1">
      <alignment horizontal="center"/>
      <protection/>
    </xf>
    <xf numFmtId="166" fontId="0" fillId="0" borderId="18" xfId="0" applyNumberFormat="1" applyBorder="1" applyAlignment="1" applyProtection="1">
      <alignment horizontal="centerContinuous"/>
      <protection/>
    </xf>
    <xf numFmtId="0" fontId="0" fillId="0" borderId="18" xfId="0" applyBorder="1" applyAlignment="1">
      <alignment horizontal="centerContinuous"/>
    </xf>
    <xf numFmtId="37" fontId="0" fillId="0" borderId="18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 horizontal="centerContinuous"/>
      <protection/>
    </xf>
    <xf numFmtId="15" fontId="0" fillId="0" borderId="45" xfId="0" applyNumberFormat="1" applyFont="1" applyBorder="1" applyAlignment="1">
      <alignment horizontal="center"/>
    </xf>
    <xf numFmtId="15" fontId="0" fillId="0" borderId="4" xfId="0" applyNumberFormat="1" applyFont="1" applyBorder="1" applyAlignment="1">
      <alignment horizontal="center" vertical="center"/>
    </xf>
    <xf numFmtId="0" fontId="4" fillId="0" borderId="0" xfId="21">
      <alignment/>
      <protection/>
    </xf>
    <xf numFmtId="0" fontId="8" fillId="0" borderId="0" xfId="0" applyFont="1" applyBorder="1" applyAlignment="1">
      <alignment horizontal="centerContinuous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4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3"/>
  <sheetViews>
    <sheetView tabSelected="1" view="pageBreakPreview" zoomScale="50" zoomScaleNormal="65" zoomScaleSheetLayoutView="50" workbookViewId="0" topLeftCell="A1">
      <selection activeCell="D68" sqref="D67:D68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4.99609375" style="0" customWidth="1"/>
    <col min="10" max="10" width="4.99609375" style="0" customWidth="1"/>
    <col min="11" max="11" width="4.88671875" style="0" customWidth="1"/>
    <col min="12" max="12" width="16.5546875" style="0" customWidth="1"/>
    <col min="13" max="13" width="4.77734375" style="0" customWidth="1"/>
  </cols>
  <sheetData>
    <row r="1" spans="1:235" ht="37.5">
      <c r="A1" s="438" t="s">
        <v>1108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38" t="s">
        <v>1003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235" ht="32.25" customHeight="1">
      <c r="A4" s="440" t="s">
        <v>989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20.25" customHeight="1" thickBot="1">
      <c r="A5" s="441" t="s">
        <v>1005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6.5" customHeight="1" thickTop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3" ht="23.25">
      <c r="A7" s="462" t="s">
        <v>990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</row>
    <row r="8" spans="1:11" ht="8.25" customHeight="1">
      <c r="A8" s="5"/>
      <c r="B8" s="6"/>
      <c r="C8" s="6"/>
      <c r="D8" s="6"/>
      <c r="E8" s="6"/>
      <c r="F8" s="3"/>
      <c r="G8" s="3"/>
      <c r="H8" s="3"/>
      <c r="I8" s="3"/>
      <c r="J8" s="3"/>
      <c r="K8" s="3"/>
    </row>
    <row r="9" spans="1:13" ht="16.5" customHeight="1">
      <c r="A9" s="436" t="s">
        <v>443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</row>
    <row r="10" spans="1:13" ht="20.25">
      <c r="A10" s="193"/>
      <c r="B10" s="193"/>
      <c r="C10" s="193"/>
      <c r="D10" s="193"/>
      <c r="E10" s="443" t="s">
        <v>79</v>
      </c>
      <c r="F10" s="444"/>
      <c r="G10" s="444"/>
      <c r="H10" s="445"/>
      <c r="I10" s="445"/>
      <c r="J10" s="446"/>
      <c r="K10" s="246"/>
      <c r="L10" s="248"/>
      <c r="M10" s="248"/>
    </row>
    <row r="11" spans="1:13" ht="20.25">
      <c r="A11" s="463" t="s">
        <v>1006</v>
      </c>
      <c r="B11" s="463"/>
      <c r="C11" s="463"/>
      <c r="D11" s="452"/>
      <c r="E11" s="447" t="s">
        <v>82</v>
      </c>
      <c r="F11" s="451"/>
      <c r="G11" s="452"/>
      <c r="H11" s="447" t="s">
        <v>80</v>
      </c>
      <c r="I11" s="451"/>
      <c r="J11" s="452"/>
      <c r="K11" s="447" t="s">
        <v>76</v>
      </c>
      <c r="L11" s="448"/>
      <c r="M11" s="448"/>
    </row>
    <row r="12" spans="1:13" ht="20.25">
      <c r="A12" s="194"/>
      <c r="B12" s="194"/>
      <c r="C12" s="194"/>
      <c r="D12" s="195"/>
      <c r="E12" s="453" t="s">
        <v>773</v>
      </c>
      <c r="F12" s="454"/>
      <c r="G12" s="455"/>
      <c r="H12" s="453" t="s">
        <v>81</v>
      </c>
      <c r="I12" s="454"/>
      <c r="J12" s="455"/>
      <c r="K12" s="196"/>
      <c r="L12" s="197"/>
      <c r="M12" s="73"/>
    </row>
    <row r="13" spans="1:12" ht="18">
      <c r="A13" s="105" t="s">
        <v>1009</v>
      </c>
      <c r="D13" s="12"/>
      <c r="E13" s="10"/>
      <c r="F13" s="11"/>
      <c r="G13" s="12"/>
      <c r="H13" s="10"/>
      <c r="J13" s="12"/>
      <c r="K13" s="10"/>
      <c r="L13" s="11"/>
    </row>
    <row r="14" spans="2:12" ht="19.5" customHeight="1">
      <c r="B14" s="105" t="s">
        <v>1172</v>
      </c>
      <c r="D14" s="25"/>
      <c r="E14" s="165" t="s">
        <v>1004</v>
      </c>
      <c r="F14" s="360">
        <f>SUM(Marketable!O56)-I14</f>
        <v>984940.1570000002</v>
      </c>
      <c r="G14" s="190"/>
      <c r="H14" s="165"/>
      <c r="I14" s="119">
        <v>30.4</v>
      </c>
      <c r="J14" s="186"/>
      <c r="K14" s="200"/>
      <c r="L14" s="353">
        <f>Marketable!O56</f>
        <v>984970.5570000003</v>
      </c>
    </row>
    <row r="15" spans="2:12" ht="19.5" customHeight="1">
      <c r="B15" s="105" t="s">
        <v>310</v>
      </c>
      <c r="D15" s="25"/>
      <c r="E15" s="257" t="s">
        <v>1004</v>
      </c>
      <c r="F15" s="360">
        <f>SUM(Marketable!O151)-I15</f>
        <v>1983436.5210000006</v>
      </c>
      <c r="G15" s="386"/>
      <c r="H15" s="256"/>
      <c r="I15" s="119">
        <v>29</v>
      </c>
      <c r="J15" s="386"/>
      <c r="K15" s="200"/>
      <c r="L15" s="353">
        <f>Marketable!O151</f>
        <v>1983465.5210000006</v>
      </c>
    </row>
    <row r="16" spans="2:12" ht="19.5" customHeight="1">
      <c r="B16" s="105" t="s">
        <v>311</v>
      </c>
      <c r="D16" s="25"/>
      <c r="E16" s="257" t="s">
        <v>1004</v>
      </c>
      <c r="F16" s="360">
        <f>SUM(Marketable!O274)-I16</f>
        <v>564170.526</v>
      </c>
      <c r="G16" s="386"/>
      <c r="H16" s="256"/>
      <c r="I16" s="119">
        <v>232.221</v>
      </c>
      <c r="J16" s="386"/>
      <c r="K16" s="200"/>
      <c r="L16" s="353">
        <f>+Marketable!O274</f>
        <v>564402.747</v>
      </c>
    </row>
    <row r="17" spans="2:12" ht="19.5" customHeight="1">
      <c r="B17" s="105" t="s">
        <v>1173</v>
      </c>
      <c r="D17" s="25"/>
      <c r="E17" s="165" t="s">
        <v>1004</v>
      </c>
      <c r="F17" s="360">
        <f>SUM(Marketable!O309)</f>
        <v>141970.722</v>
      </c>
      <c r="G17" s="190"/>
      <c r="H17" s="165"/>
      <c r="I17" s="119">
        <v>0</v>
      </c>
      <c r="J17" s="186"/>
      <c r="K17" s="200"/>
      <c r="L17" s="353">
        <f>Marketable!O309</f>
        <v>141970.722</v>
      </c>
    </row>
    <row r="18" spans="2:12" ht="19.5" customHeight="1">
      <c r="B18" s="105" t="s">
        <v>1174</v>
      </c>
      <c r="D18" s="25"/>
      <c r="E18" s="165" t="s">
        <v>1004</v>
      </c>
      <c r="F18" s="360">
        <f>SUM(Marketable!O316)</f>
        <v>46404.882</v>
      </c>
      <c r="G18" s="190"/>
      <c r="H18" s="165"/>
      <c r="I18" s="120">
        <v>0</v>
      </c>
      <c r="J18" s="186"/>
      <c r="K18" s="200"/>
      <c r="L18" s="353">
        <f>Marketable!O316</f>
        <v>46404.882</v>
      </c>
    </row>
    <row r="19" spans="1:12" s="75" customFormat="1" ht="21.75" thickBot="1">
      <c r="A19" s="151" t="s">
        <v>1175</v>
      </c>
      <c r="D19" s="187"/>
      <c r="E19" s="189" t="s">
        <v>1004</v>
      </c>
      <c r="F19" s="361">
        <f>SUM(F14:F18)</f>
        <v>3720922.808000001</v>
      </c>
      <c r="G19" s="191"/>
      <c r="H19" s="256">
        <v>1</v>
      </c>
      <c r="I19" s="355">
        <f>SUM(I14:I18)</f>
        <v>291.621</v>
      </c>
      <c r="J19" s="187"/>
      <c r="K19" s="252"/>
      <c r="L19" s="361">
        <f>Marketable!O318</f>
        <v>3721214.429000001</v>
      </c>
    </row>
    <row r="20" spans="4:12" ht="15.75" thickTop="1">
      <c r="D20" s="25"/>
      <c r="E20" s="14"/>
      <c r="F20" s="362"/>
      <c r="G20" s="25"/>
      <c r="H20" s="14"/>
      <c r="I20" s="365"/>
      <c r="J20" s="25"/>
      <c r="K20" s="14"/>
      <c r="L20" s="362"/>
    </row>
    <row r="21" spans="1:12" ht="18">
      <c r="A21" s="105" t="s">
        <v>1011</v>
      </c>
      <c r="D21" s="25"/>
      <c r="E21" s="14"/>
      <c r="F21" s="362"/>
      <c r="G21" s="25"/>
      <c r="H21" s="14"/>
      <c r="I21" s="365"/>
      <c r="J21" s="25"/>
      <c r="K21" s="14"/>
      <c r="L21" s="362"/>
    </row>
    <row r="22" spans="2:12" ht="19.5" customHeight="1">
      <c r="B22" s="105" t="s">
        <v>1176</v>
      </c>
      <c r="D22" s="25"/>
      <c r="E22" s="165" t="s">
        <v>1004</v>
      </c>
      <c r="F22" s="360">
        <f>Nonmarketable!O18</f>
        <v>29995.179999999997</v>
      </c>
      <c r="G22" s="190"/>
      <c r="H22" s="165"/>
      <c r="I22" s="119">
        <v>0</v>
      </c>
      <c r="J22" s="186"/>
      <c r="K22" s="200"/>
      <c r="L22" s="353">
        <f>Nonmarketable!O18</f>
        <v>29995.179999999997</v>
      </c>
    </row>
    <row r="23" spans="2:12" ht="19.5" customHeight="1">
      <c r="B23" s="105" t="s">
        <v>1177</v>
      </c>
      <c r="D23" s="25"/>
      <c r="E23" s="165" t="s">
        <v>1004</v>
      </c>
      <c r="F23" s="360">
        <f>Nonmarketable!O27</f>
        <v>6731.364589999999</v>
      </c>
      <c r="G23" s="190"/>
      <c r="H23" s="165"/>
      <c r="I23" s="119">
        <v>0</v>
      </c>
      <c r="J23" s="186"/>
      <c r="K23" s="200"/>
      <c r="L23" s="353">
        <f>Nonmarketable!O27</f>
        <v>6731.364589999999</v>
      </c>
    </row>
    <row r="24" spans="2:12" ht="19.5" customHeight="1">
      <c r="B24" s="105" t="s">
        <v>631</v>
      </c>
      <c r="D24" s="25"/>
      <c r="E24" s="165" t="s">
        <v>1004</v>
      </c>
      <c r="F24" s="360">
        <f>SUM(Nonmarketable!O32)</f>
        <v>1.0530000000000044</v>
      </c>
      <c r="G24" s="190"/>
      <c r="H24" s="165"/>
      <c r="I24" s="119">
        <v>0</v>
      </c>
      <c r="J24" s="186"/>
      <c r="K24" s="200"/>
      <c r="L24" s="353">
        <f>Nonmarketable!O32</f>
        <v>1.0530000000000044</v>
      </c>
    </row>
    <row r="25" spans="2:12" ht="19.5" customHeight="1">
      <c r="B25" s="105" t="s">
        <v>632</v>
      </c>
      <c r="D25" s="25"/>
      <c r="E25" s="165" t="s">
        <v>1004</v>
      </c>
      <c r="F25" s="360">
        <f>SUM(Nonmarketable!O44)</f>
        <v>155711.81189999997</v>
      </c>
      <c r="G25" s="190"/>
      <c r="H25" s="165"/>
      <c r="I25" s="119">
        <v>0</v>
      </c>
      <c r="J25" s="186"/>
      <c r="K25" s="200"/>
      <c r="L25" s="353">
        <f>Nonmarketable!O44</f>
        <v>155711.81189999997</v>
      </c>
    </row>
    <row r="26" spans="2:12" ht="19.5" customHeight="1">
      <c r="B26" s="105" t="s">
        <v>911</v>
      </c>
      <c r="D26" s="25"/>
      <c r="E26" s="165" t="s">
        <v>1004</v>
      </c>
      <c r="F26" s="360">
        <f>Nonmarketable!O63</f>
        <v>204465.32610220005</v>
      </c>
      <c r="G26" s="190"/>
      <c r="H26" s="165"/>
      <c r="I26" s="119">
        <v>0</v>
      </c>
      <c r="J26" s="186"/>
      <c r="K26" s="200"/>
      <c r="L26" s="353">
        <f>Nonmarketable!O63</f>
        <v>204465.32610220005</v>
      </c>
    </row>
    <row r="27" spans="2:12" ht="19.5" customHeight="1">
      <c r="B27" s="105" t="s">
        <v>392</v>
      </c>
      <c r="D27" s="25"/>
      <c r="E27" s="165" t="s">
        <v>1004</v>
      </c>
      <c r="F27" s="360">
        <f>GAS!L44</f>
        <v>54713.97313924</v>
      </c>
      <c r="G27" s="190"/>
      <c r="H27" s="257"/>
      <c r="I27" s="119">
        <f>GAS!L259</f>
        <v>2953903.09953837</v>
      </c>
      <c r="J27" s="186"/>
      <c r="K27" s="200"/>
      <c r="L27" s="353">
        <f>GAS!L260</f>
        <v>3008617.07267761</v>
      </c>
    </row>
    <row r="28" spans="2:12" ht="19.5" customHeight="1">
      <c r="B28" s="105" t="s">
        <v>393</v>
      </c>
      <c r="D28" s="25"/>
      <c r="E28" s="165" t="s">
        <v>1004</v>
      </c>
      <c r="F28" s="363">
        <f>SUM(GAS!L275)</f>
        <v>4331.983199</v>
      </c>
      <c r="G28" s="190"/>
      <c r="H28" s="165"/>
      <c r="I28" s="120">
        <v>0</v>
      </c>
      <c r="J28" s="186"/>
      <c r="K28" s="253"/>
      <c r="L28" s="247">
        <f>GAS!L275</f>
        <v>4331.983199</v>
      </c>
    </row>
    <row r="29" spans="1:12" s="75" customFormat="1" ht="21.75" thickBot="1">
      <c r="A29" s="151" t="s">
        <v>402</v>
      </c>
      <c r="D29" s="187"/>
      <c r="E29" s="189" t="s">
        <v>1004</v>
      </c>
      <c r="F29" s="361">
        <f>SUM(F22:F28)</f>
        <v>455950.69193044</v>
      </c>
      <c r="G29" s="191"/>
      <c r="H29" s="188"/>
      <c r="I29" s="241">
        <f>SUM(I22:I28)</f>
        <v>2953903.09953837</v>
      </c>
      <c r="J29" s="187"/>
      <c r="K29" s="252"/>
      <c r="L29" s="361">
        <f>GAS!L277</f>
        <v>3409853.79146881</v>
      </c>
    </row>
    <row r="30" spans="4:12" ht="15.75" thickTop="1">
      <c r="D30" s="25"/>
      <c r="E30" s="14"/>
      <c r="F30" s="362"/>
      <c r="G30" s="25"/>
      <c r="H30" s="14"/>
      <c r="I30" s="365"/>
      <c r="J30" s="25"/>
      <c r="K30" s="14"/>
      <c r="L30" s="362"/>
    </row>
    <row r="31" spans="1:13" s="75" customFormat="1" ht="21.75">
      <c r="A31" s="259" t="s">
        <v>895</v>
      </c>
      <c r="B31" s="260"/>
      <c r="C31" s="260"/>
      <c r="D31" s="261"/>
      <c r="E31" s="392" t="s">
        <v>1004</v>
      </c>
      <c r="F31" s="364">
        <f>F19+F29+1</f>
        <v>4176874.4999304414</v>
      </c>
      <c r="G31" s="192"/>
      <c r="H31" s="391"/>
      <c r="I31" s="364">
        <f>+I19+I29-1</f>
        <v>2954193.72053837</v>
      </c>
      <c r="J31" s="415"/>
      <c r="K31" s="199"/>
      <c r="L31" s="364">
        <f>GAS!L279</f>
        <v>7131068.220468811</v>
      </c>
      <c r="M31" s="416"/>
    </row>
    <row r="32" spans="1:13" ht="46.5" customHeight="1">
      <c r="A32" s="449" t="s">
        <v>991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</row>
    <row r="33" spans="1:13" ht="17.25" customHeight="1">
      <c r="A33" s="457" t="s">
        <v>1015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</row>
    <row r="34" spans="1:13" ht="20.25">
      <c r="A34" s="193"/>
      <c r="B34" s="193"/>
      <c r="C34" s="193"/>
      <c r="D34" s="193"/>
      <c r="E34" s="459" t="s">
        <v>79</v>
      </c>
      <c r="F34" s="460"/>
      <c r="G34" s="460"/>
      <c r="H34" s="433"/>
      <c r="I34" s="433"/>
      <c r="J34" s="434"/>
      <c r="K34" s="242"/>
      <c r="L34" s="242"/>
      <c r="M34" s="124"/>
    </row>
    <row r="35" spans="1:13" ht="20.25">
      <c r="A35" s="463"/>
      <c r="B35" s="463"/>
      <c r="C35" s="463"/>
      <c r="D35" s="452"/>
      <c r="E35" s="447" t="s">
        <v>82</v>
      </c>
      <c r="F35" s="451"/>
      <c r="G35" s="452"/>
      <c r="H35" s="447" t="s">
        <v>80</v>
      </c>
      <c r="I35" s="451"/>
      <c r="J35" s="452"/>
      <c r="K35" s="447" t="s">
        <v>76</v>
      </c>
      <c r="L35" s="450"/>
      <c r="M35" s="450"/>
    </row>
    <row r="36" spans="1:13" ht="20.25">
      <c r="A36" s="206"/>
      <c r="B36" s="206"/>
      <c r="C36" s="206"/>
      <c r="D36" s="207"/>
      <c r="E36" s="453" t="s">
        <v>773</v>
      </c>
      <c r="F36" s="454"/>
      <c r="G36" s="455"/>
      <c r="H36" s="453" t="s">
        <v>81</v>
      </c>
      <c r="I36" s="454"/>
      <c r="J36" s="455"/>
      <c r="K36" s="197"/>
      <c r="L36" s="197"/>
      <c r="M36" s="285"/>
    </row>
    <row r="37" spans="1:13" ht="18">
      <c r="A37" s="105" t="s">
        <v>64</v>
      </c>
      <c r="B37" s="105"/>
      <c r="C37" s="105"/>
      <c r="D37" s="124"/>
      <c r="E37" s="243"/>
      <c r="F37" s="106"/>
      <c r="G37" s="244"/>
      <c r="H37" s="209"/>
      <c r="I37" s="209"/>
      <c r="J37" s="244"/>
      <c r="K37" s="78"/>
      <c r="L37" s="78"/>
      <c r="M37" s="78"/>
    </row>
    <row r="38" spans="1:13" ht="19.5" customHeight="1">
      <c r="A38" s="105"/>
      <c r="B38" s="105" t="s">
        <v>403</v>
      </c>
      <c r="C38" s="105"/>
      <c r="D38" s="124"/>
      <c r="E38" s="208" t="s">
        <v>1004</v>
      </c>
      <c r="F38" s="352">
        <f>+F31</f>
        <v>4176874.4999304414</v>
      </c>
      <c r="G38" s="210"/>
      <c r="H38" s="209"/>
      <c r="I38" s="352">
        <f>+I31</f>
        <v>2954193.72053837</v>
      </c>
      <c r="J38" s="210"/>
      <c r="K38" s="201"/>
      <c r="L38" s="202">
        <f>+L31</f>
        <v>7131068.220468811</v>
      </c>
      <c r="M38" s="78"/>
    </row>
    <row r="39" spans="1:13" ht="19.5" customHeight="1">
      <c r="A39" s="105"/>
      <c r="B39" s="105" t="s">
        <v>78</v>
      </c>
      <c r="C39" s="105"/>
      <c r="D39" s="124"/>
      <c r="E39" s="208"/>
      <c r="F39" s="353"/>
      <c r="G39" s="210"/>
      <c r="H39" s="209"/>
      <c r="I39" s="353"/>
      <c r="J39" s="210"/>
      <c r="K39" s="105"/>
      <c r="L39" s="202"/>
      <c r="M39" s="78"/>
    </row>
    <row r="40" spans="1:13" ht="19.5" customHeight="1">
      <c r="A40" s="105"/>
      <c r="B40" s="105"/>
      <c r="C40" s="105" t="s">
        <v>404</v>
      </c>
      <c r="D40" s="124"/>
      <c r="E40" s="208" t="s">
        <v>1004</v>
      </c>
      <c r="F40" s="353">
        <f>+GAS!L268</f>
        <v>514.148815</v>
      </c>
      <c r="G40" s="210"/>
      <c r="H40" s="209"/>
      <c r="I40" s="119">
        <v>0</v>
      </c>
      <c r="J40" s="210"/>
      <c r="K40" s="202"/>
      <c r="L40" s="202">
        <f>SUM(GAS!L268)</f>
        <v>514.148815</v>
      </c>
      <c r="M40" s="78"/>
    </row>
    <row r="41" spans="1:13" ht="19.5" customHeight="1">
      <c r="A41" s="105"/>
      <c r="B41" s="105"/>
      <c r="C41" s="105" t="s">
        <v>266</v>
      </c>
      <c r="D41" s="124"/>
      <c r="E41" s="208" t="s">
        <v>1004</v>
      </c>
      <c r="F41" s="353">
        <f>42022.218939-I41</f>
        <v>29023.251115</v>
      </c>
      <c r="G41" s="210"/>
      <c r="H41" s="209"/>
      <c r="I41" s="353">
        <v>12998.967824</v>
      </c>
      <c r="J41" s="210"/>
      <c r="K41" s="211"/>
      <c r="L41" s="356">
        <f>F41+I41</f>
        <v>42022.218939</v>
      </c>
      <c r="M41" s="78"/>
    </row>
    <row r="42" spans="1:13" ht="19.5" customHeight="1" thickBot="1">
      <c r="A42" s="105"/>
      <c r="B42" s="105" t="s">
        <v>405</v>
      </c>
      <c r="C42" s="105"/>
      <c r="D42" s="124"/>
      <c r="E42" s="208" t="s">
        <v>1004</v>
      </c>
      <c r="F42" s="354">
        <f>+F38-F40-F41-1</f>
        <v>4147336.1000004415</v>
      </c>
      <c r="G42" s="210"/>
      <c r="H42" s="209"/>
      <c r="I42" s="354">
        <f>+I38-I40-I41</f>
        <v>2941194.75271437</v>
      </c>
      <c r="J42" s="210"/>
      <c r="K42" s="249"/>
      <c r="L42" s="357">
        <f>SUM(L38-L40-L41)</f>
        <v>7088531.8527148105</v>
      </c>
      <c r="M42" s="78"/>
    </row>
    <row r="43" spans="1:13" ht="18.75" thickTop="1">
      <c r="A43" s="105"/>
      <c r="B43" s="105"/>
      <c r="C43" s="105"/>
      <c r="D43" s="124"/>
      <c r="E43" s="208"/>
      <c r="F43" s="353"/>
      <c r="G43" s="210"/>
      <c r="H43" s="209"/>
      <c r="I43" s="353"/>
      <c r="J43" s="210"/>
      <c r="K43" s="209"/>
      <c r="L43" s="282"/>
      <c r="M43" s="78"/>
    </row>
    <row r="44" spans="1:13" ht="18">
      <c r="A44" s="105"/>
      <c r="B44" s="105" t="s">
        <v>77</v>
      </c>
      <c r="C44" s="105"/>
      <c r="D44" s="124"/>
      <c r="E44" s="208"/>
      <c r="F44" s="353"/>
      <c r="G44" s="210"/>
      <c r="H44" s="209"/>
      <c r="I44" s="353"/>
      <c r="J44" s="210"/>
      <c r="K44" s="209"/>
      <c r="L44" s="282"/>
      <c r="M44" s="78"/>
    </row>
    <row r="45" spans="1:13" ht="21" customHeight="1" thickBot="1">
      <c r="A45" s="105"/>
      <c r="B45" s="105"/>
      <c r="C45" s="105" t="s">
        <v>267</v>
      </c>
      <c r="D45" s="124"/>
      <c r="E45" s="208" t="s">
        <v>1004</v>
      </c>
      <c r="F45" s="245">
        <v>116.372523</v>
      </c>
      <c r="G45" s="210"/>
      <c r="H45" s="209"/>
      <c r="I45" s="245">
        <v>0</v>
      </c>
      <c r="J45" s="210"/>
      <c r="K45" s="250"/>
      <c r="L45" s="204">
        <f>SUM(F45,I45)</f>
        <v>116.372523</v>
      </c>
      <c r="M45" s="78"/>
    </row>
    <row r="46" spans="1:13" ht="18.75" thickTop="1">
      <c r="A46" s="105"/>
      <c r="B46" s="105"/>
      <c r="C46" s="105"/>
      <c r="D46" s="124"/>
      <c r="E46" s="208"/>
      <c r="F46" s="353"/>
      <c r="G46" s="210"/>
      <c r="H46" s="209"/>
      <c r="I46" s="353"/>
      <c r="J46" s="210"/>
      <c r="K46" s="209"/>
      <c r="L46" s="202"/>
      <c r="M46" s="78"/>
    </row>
    <row r="47" spans="1:13" ht="21" thickBot="1">
      <c r="A47" s="193"/>
      <c r="B47" s="198" t="s">
        <v>405</v>
      </c>
      <c r="C47" s="193"/>
      <c r="D47" s="206"/>
      <c r="E47" s="208" t="s">
        <v>1004</v>
      </c>
      <c r="F47" s="355">
        <f>+F42+F45+1</f>
        <v>4147453.4725234415</v>
      </c>
      <c r="G47" s="210"/>
      <c r="H47" s="209"/>
      <c r="I47" s="355">
        <f>+I42+I45</f>
        <v>2941194.75271437</v>
      </c>
      <c r="J47" s="210"/>
      <c r="K47" s="251"/>
      <c r="L47" s="358">
        <f>SUM(L42+L45)</f>
        <v>7088648.225237811</v>
      </c>
      <c r="M47" s="78"/>
    </row>
    <row r="48" spans="1:13" ht="22.5" thickBot="1" thickTop="1">
      <c r="A48" s="78"/>
      <c r="B48" s="105" t="s">
        <v>0</v>
      </c>
      <c r="C48" s="78"/>
      <c r="D48" s="78"/>
      <c r="E48" s="78"/>
      <c r="F48" s="78"/>
      <c r="G48" s="78"/>
      <c r="H48" s="78"/>
      <c r="I48" s="78"/>
      <c r="J48" s="78"/>
      <c r="K48" s="254" t="s">
        <v>1004</v>
      </c>
      <c r="L48" s="359">
        <v>7384000</v>
      </c>
      <c r="M48" s="78"/>
    </row>
    <row r="49" spans="1:13" ht="18.75" thickTop="1">
      <c r="A49" s="285"/>
      <c r="B49" s="205" t="s">
        <v>410</v>
      </c>
      <c r="C49" s="285"/>
      <c r="D49" s="285"/>
      <c r="E49" s="285"/>
      <c r="F49" s="285"/>
      <c r="G49" s="285"/>
      <c r="H49" s="285"/>
      <c r="I49" s="285"/>
      <c r="J49" s="285"/>
      <c r="K49" s="255" t="s">
        <v>1004</v>
      </c>
      <c r="L49" s="203">
        <f>SUM(L48-L47)</f>
        <v>295351.774762189</v>
      </c>
      <c r="M49" s="285"/>
    </row>
    <row r="50" spans="1:13" ht="1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ht="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ht="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ht="1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26.25" customHeight="1">
      <c r="A58" s="456" t="s">
        <v>1013</v>
      </c>
      <c r="B58" s="450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</row>
    <row r="59" spans="1:13" ht="26.25" customHeight="1">
      <c r="A59" s="456" t="s">
        <v>1014</v>
      </c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</row>
    <row r="60" spans="1:13" ht="15" customHeight="1">
      <c r="A60" s="388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</row>
    <row r="61" spans="1:13" ht="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5.75">
      <c r="A62" s="435" t="s">
        <v>332</v>
      </c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</row>
    <row r="63" spans="1:13" ht="18">
      <c r="A63" s="461" t="s">
        <v>333</v>
      </c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</row>
  </sheetData>
  <mergeCells count="26">
    <mergeCell ref="A62:M62"/>
    <mergeCell ref="A63:M63"/>
    <mergeCell ref="A7:M7"/>
    <mergeCell ref="E11:G11"/>
    <mergeCell ref="E12:G12"/>
    <mergeCell ref="A11:D11"/>
    <mergeCell ref="A35:D35"/>
    <mergeCell ref="H35:J35"/>
    <mergeCell ref="E36:G36"/>
    <mergeCell ref="H36:J36"/>
    <mergeCell ref="A59:M59"/>
    <mergeCell ref="K35:M35"/>
    <mergeCell ref="A33:M33"/>
    <mergeCell ref="A58:M58"/>
    <mergeCell ref="E34:J34"/>
    <mergeCell ref="E35:G35"/>
    <mergeCell ref="E10:J10"/>
    <mergeCell ref="K11:M11"/>
    <mergeCell ref="A32:M32"/>
    <mergeCell ref="H11:J11"/>
    <mergeCell ref="H12:J12"/>
    <mergeCell ref="A9:M9"/>
    <mergeCell ref="A1:M1"/>
    <mergeCell ref="A2:M2"/>
    <mergeCell ref="A4:M4"/>
    <mergeCell ref="A5:M5"/>
  </mergeCells>
  <printOptions horizontalCentered="1" verticalCentered="1"/>
  <pageMargins left="0.25" right="0.25" top="0.4" bottom="0.3" header="0" footer="0"/>
  <pageSetup horizontalDpi="600" verticalDpi="600" orientation="portrait" scale="59" r:id="rId1"/>
  <rowBreaks count="1" manualBreakCount="1">
    <brk id="6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390"/>
  <sheetViews>
    <sheetView showGridLines="0" view="pageBreakPreview" zoomScale="50" zoomScaleNormal="75" zoomScaleSheetLayoutView="50" workbookViewId="0" topLeftCell="A1">
      <selection activeCell="O98" sqref="O98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3.445312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1.77734375" style="48" customWidth="1"/>
    <col min="11" max="11" width="13.886718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7.21484375" style="0" customWidth="1"/>
  </cols>
  <sheetData>
    <row r="1" spans="1:16" ht="16.5" customHeight="1">
      <c r="A1" s="7">
        <v>2</v>
      </c>
      <c r="B1" s="2" t="s">
        <v>992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6"/>
    </row>
    <row r="2" spans="1:16" ht="10.5" customHeight="1" thickBot="1">
      <c r="A2" s="30"/>
      <c r="B2" s="30"/>
      <c r="C2" s="30"/>
      <c r="I2" s="31"/>
      <c r="P2" s="7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67"/>
      <c r="K3" s="26"/>
      <c r="L3" s="32"/>
      <c r="M3" s="32"/>
      <c r="N3" s="32"/>
      <c r="O3" s="32"/>
      <c r="P3" s="32"/>
    </row>
    <row r="4" spans="3:16" ht="15.75" customHeight="1">
      <c r="C4" s="89"/>
      <c r="G4" s="16" t="s">
        <v>334</v>
      </c>
      <c r="H4" s="16" t="s">
        <v>335</v>
      </c>
      <c r="I4" s="29"/>
      <c r="J4" s="34" t="s">
        <v>336</v>
      </c>
      <c r="K4" s="16" t="s">
        <v>337</v>
      </c>
      <c r="L4" s="3"/>
      <c r="M4" s="3"/>
      <c r="N4" s="3"/>
      <c r="O4" s="3"/>
      <c r="P4" s="3"/>
    </row>
    <row r="5" spans="1:11" ht="15.75" customHeight="1">
      <c r="A5" s="3" t="s">
        <v>338</v>
      </c>
      <c r="B5" s="3"/>
      <c r="C5" s="3"/>
      <c r="D5" s="3"/>
      <c r="E5" s="3"/>
      <c r="F5" s="3"/>
      <c r="G5" s="16" t="s">
        <v>339</v>
      </c>
      <c r="H5" s="16" t="s">
        <v>340</v>
      </c>
      <c r="I5" s="29"/>
      <c r="J5" s="34" t="s">
        <v>341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61"/>
      <c r="K6" s="37" t="s">
        <v>342</v>
      </c>
      <c r="L6" s="38"/>
      <c r="M6" s="37" t="s">
        <v>93</v>
      </c>
      <c r="N6" s="38"/>
      <c r="O6" s="37" t="s">
        <v>1007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6"/>
      <c r="J7" s="34"/>
      <c r="K7" s="16"/>
      <c r="L7" s="97"/>
      <c r="M7" s="16"/>
      <c r="N7" s="97"/>
      <c r="O7" s="16"/>
      <c r="P7" s="97"/>
    </row>
    <row r="8" spans="1:16" ht="18">
      <c r="A8" s="23" t="s">
        <v>1009</v>
      </c>
      <c r="B8" s="23"/>
      <c r="C8" s="22"/>
      <c r="G8" s="18"/>
      <c r="H8" s="18"/>
      <c r="I8" s="39"/>
      <c r="J8" s="68"/>
      <c r="K8" s="40"/>
      <c r="L8" s="21"/>
      <c r="M8" s="14"/>
      <c r="O8" s="40"/>
      <c r="P8" s="41"/>
    </row>
    <row r="9" spans="2:16" ht="19.5">
      <c r="B9" s="9" t="s">
        <v>95</v>
      </c>
      <c r="F9" s="154" t="s">
        <v>1</v>
      </c>
      <c r="G9" s="18"/>
      <c r="H9" s="18"/>
      <c r="I9" s="39"/>
      <c r="J9" s="68"/>
      <c r="K9" s="14"/>
      <c r="M9" s="14"/>
      <c r="O9" s="47"/>
      <c r="P9" s="21"/>
    </row>
    <row r="10" spans="2:16" ht="17.25" customHeight="1">
      <c r="B10" s="9" t="s">
        <v>96</v>
      </c>
      <c r="E10" s="9" t="s">
        <v>97</v>
      </c>
      <c r="F10" s="9"/>
      <c r="G10" s="18"/>
      <c r="H10" s="18"/>
      <c r="I10" s="39"/>
      <c r="J10" s="68"/>
      <c r="K10" s="14"/>
      <c r="M10" s="14"/>
      <c r="O10" s="47"/>
      <c r="P10" s="21"/>
    </row>
    <row r="11" spans="3:16" ht="15.75" customHeight="1">
      <c r="C11" s="88" t="s">
        <v>287</v>
      </c>
      <c r="D11" s="44"/>
      <c r="E11" s="126">
        <v>1.005</v>
      </c>
      <c r="F11" s="63"/>
      <c r="G11" s="52">
        <v>37896</v>
      </c>
      <c r="H11" s="125">
        <v>38078</v>
      </c>
      <c r="I11" s="389"/>
      <c r="J11" s="46">
        <v>38078</v>
      </c>
      <c r="K11" s="40">
        <v>21817.267</v>
      </c>
      <c r="L11" s="21"/>
      <c r="M11" s="47" t="s">
        <v>98</v>
      </c>
      <c r="N11" s="27"/>
      <c r="O11" s="40">
        <f>K11+K12+K13</f>
        <v>67851.601</v>
      </c>
      <c r="P11" s="21"/>
    </row>
    <row r="12" spans="3:16" ht="15.75" customHeight="1">
      <c r="C12" s="43"/>
      <c r="D12" s="44"/>
      <c r="E12" s="126">
        <v>0.885</v>
      </c>
      <c r="F12" s="63"/>
      <c r="G12" s="52">
        <v>37988</v>
      </c>
      <c r="H12" s="125"/>
      <c r="I12" s="389"/>
      <c r="J12" s="46"/>
      <c r="K12" s="40">
        <v>21915.705</v>
      </c>
      <c r="L12" s="21"/>
      <c r="M12" s="47"/>
      <c r="N12" s="27"/>
      <c r="O12" s="40"/>
      <c r="P12" s="21"/>
    </row>
    <row r="13" spans="3:16" ht="15.75" customHeight="1">
      <c r="C13" s="43"/>
      <c r="D13" s="44"/>
      <c r="E13" s="126">
        <v>0.96</v>
      </c>
      <c r="F13" s="63"/>
      <c r="G13" s="52">
        <v>38050</v>
      </c>
      <c r="H13" s="125"/>
      <c r="I13" s="389"/>
      <c r="J13" s="46"/>
      <c r="K13" s="40">
        <v>24118.629</v>
      </c>
      <c r="L13" s="21"/>
      <c r="M13" s="47"/>
      <c r="N13" s="27"/>
      <c r="O13" s="40"/>
      <c r="P13" s="21"/>
    </row>
    <row r="14" spans="3:16" ht="15.75" customHeight="1">
      <c r="C14" s="43" t="s">
        <v>673</v>
      </c>
      <c r="D14" s="44"/>
      <c r="E14" s="126">
        <v>0.995</v>
      </c>
      <c r="F14" s="63"/>
      <c r="G14" s="52">
        <v>37903</v>
      </c>
      <c r="H14" s="125">
        <v>38085</v>
      </c>
      <c r="I14" s="389"/>
      <c r="J14" s="46">
        <v>38085</v>
      </c>
      <c r="K14" s="40">
        <v>21732.609</v>
      </c>
      <c r="L14" s="21"/>
      <c r="M14" s="47" t="s">
        <v>98</v>
      </c>
      <c r="N14" s="27"/>
      <c r="O14" s="40">
        <f>K14+K15+K16</f>
        <v>69005.427</v>
      </c>
      <c r="P14" s="21"/>
    </row>
    <row r="15" spans="3:16" ht="15.75" customHeight="1">
      <c r="C15" s="43"/>
      <c r="D15" s="44"/>
      <c r="E15" s="126">
        <v>0.92</v>
      </c>
      <c r="F15" s="63"/>
      <c r="G15" s="52">
        <v>37994</v>
      </c>
      <c r="H15" s="125"/>
      <c r="I15" s="389"/>
      <c r="J15" s="46"/>
      <c r="K15" s="40">
        <v>22978.903</v>
      </c>
      <c r="L15" s="21"/>
      <c r="M15" s="47"/>
      <c r="N15" s="27"/>
      <c r="O15" s="40"/>
      <c r="P15" s="21"/>
    </row>
    <row r="16" spans="3:16" ht="15.75" customHeight="1">
      <c r="C16" s="43"/>
      <c r="D16" s="44"/>
      <c r="E16" s="126">
        <v>0.96</v>
      </c>
      <c r="F16" s="63"/>
      <c r="G16" s="52">
        <v>38057</v>
      </c>
      <c r="H16" s="125"/>
      <c r="I16" s="389"/>
      <c r="J16" s="46"/>
      <c r="K16" s="40">
        <v>24293.915</v>
      </c>
      <c r="L16" s="21"/>
      <c r="M16" s="47"/>
      <c r="N16" s="27"/>
      <c r="O16" s="40"/>
      <c r="P16" s="21"/>
    </row>
    <row r="17" spans="3:16" ht="15.75" customHeight="1">
      <c r="C17" s="43" t="s">
        <v>243</v>
      </c>
      <c r="D17" s="44"/>
      <c r="E17" s="126">
        <v>0.985</v>
      </c>
      <c r="F17" s="63"/>
      <c r="G17" s="52">
        <v>37910</v>
      </c>
      <c r="H17" s="125">
        <v>38092</v>
      </c>
      <c r="I17" s="389"/>
      <c r="J17" s="46">
        <v>38092</v>
      </c>
      <c r="K17" s="40">
        <v>22985.613</v>
      </c>
      <c r="L17" s="21"/>
      <c r="M17" s="47" t="s">
        <v>98</v>
      </c>
      <c r="N17" s="27"/>
      <c r="O17" s="40">
        <f>K17+K18+K19</f>
        <v>69748.542</v>
      </c>
      <c r="P17" s="21"/>
    </row>
    <row r="18" spans="3:16" ht="15.75" customHeight="1">
      <c r="C18" s="43"/>
      <c r="D18" s="44"/>
      <c r="E18" s="126">
        <v>0.87</v>
      </c>
      <c r="F18" s="63"/>
      <c r="G18" s="52">
        <v>38001</v>
      </c>
      <c r="H18" s="125"/>
      <c r="I18" s="389"/>
      <c r="J18" s="46"/>
      <c r="K18" s="40">
        <v>23428.588</v>
      </c>
      <c r="L18" s="21"/>
      <c r="M18" s="47"/>
      <c r="N18" s="27"/>
      <c r="O18" s="40"/>
      <c r="P18" s="21"/>
    </row>
    <row r="19" spans="3:16" ht="15.75" customHeight="1">
      <c r="C19" s="43"/>
      <c r="D19" s="44"/>
      <c r="E19" s="126">
        <v>0.96</v>
      </c>
      <c r="F19" s="63"/>
      <c r="G19" s="52">
        <v>38064</v>
      </c>
      <c r="H19" s="125"/>
      <c r="I19" s="389"/>
      <c r="J19" s="46"/>
      <c r="K19" s="40">
        <v>23334.341</v>
      </c>
      <c r="L19" s="21"/>
      <c r="M19" s="47"/>
      <c r="N19" s="27"/>
      <c r="O19" s="40"/>
      <c r="P19" s="21"/>
    </row>
    <row r="20" spans="3:16" ht="15.75" customHeight="1">
      <c r="C20" s="43" t="s">
        <v>242</v>
      </c>
      <c r="D20" s="44"/>
      <c r="E20" s="126">
        <v>1.015</v>
      </c>
      <c r="F20" s="63"/>
      <c r="G20" s="52">
        <v>37917</v>
      </c>
      <c r="H20" s="125">
        <v>38099</v>
      </c>
      <c r="I20" s="389"/>
      <c r="J20" s="46">
        <v>38099</v>
      </c>
      <c r="K20" s="40">
        <v>23073.784</v>
      </c>
      <c r="L20" s="21"/>
      <c r="M20" s="47" t="s">
        <v>98</v>
      </c>
      <c r="N20" s="27"/>
      <c r="O20" s="40">
        <f>K20+K21+K22</f>
        <v>69246.02100000001</v>
      </c>
      <c r="P20" s="21"/>
    </row>
    <row r="21" spans="3:16" ht="15.75" customHeight="1">
      <c r="C21" s="43"/>
      <c r="D21" s="44"/>
      <c r="E21" s="126">
        <v>0.875</v>
      </c>
      <c r="F21" s="63"/>
      <c r="G21" s="52">
        <v>38008</v>
      </c>
      <c r="H21" s="125"/>
      <c r="I21" s="389"/>
      <c r="J21" s="46"/>
      <c r="K21" s="40">
        <v>24771.895</v>
      </c>
      <c r="L21" s="21"/>
      <c r="M21" s="47"/>
      <c r="N21" s="27"/>
      <c r="O21" s="40"/>
      <c r="P21" s="21"/>
    </row>
    <row r="22" spans="3:16" ht="15.75" customHeight="1">
      <c r="C22" s="43"/>
      <c r="D22" s="44"/>
      <c r="E22" s="126">
        <v>0.945</v>
      </c>
      <c r="F22" s="63"/>
      <c r="G22" s="52">
        <v>38071</v>
      </c>
      <c r="H22" s="125"/>
      <c r="I22" s="389"/>
      <c r="J22" s="46"/>
      <c r="K22" s="40">
        <v>21400.342</v>
      </c>
      <c r="L22" s="21"/>
      <c r="M22" s="47"/>
      <c r="N22" s="27"/>
      <c r="O22" s="40"/>
      <c r="P22" s="21"/>
    </row>
    <row r="23" spans="3:16" ht="15.75" customHeight="1">
      <c r="C23" s="43" t="s">
        <v>68</v>
      </c>
      <c r="D23" s="44"/>
      <c r="E23" s="126">
        <v>1.02</v>
      </c>
      <c r="F23" s="63"/>
      <c r="G23" s="52">
        <v>37924</v>
      </c>
      <c r="H23" s="125">
        <v>38106</v>
      </c>
      <c r="I23" s="389"/>
      <c r="J23" s="46">
        <v>38106</v>
      </c>
      <c r="K23" s="40">
        <v>23000.852</v>
      </c>
      <c r="L23" s="21"/>
      <c r="M23" s="47" t="s">
        <v>98</v>
      </c>
      <c r="N23" s="27"/>
      <c r="O23" s="40">
        <f>K23+K24</f>
        <v>47880.808999999994</v>
      </c>
      <c r="P23" s="21"/>
    </row>
    <row r="24" spans="3:16" ht="15.75" customHeight="1">
      <c r="C24" s="43"/>
      <c r="D24" s="44"/>
      <c r="E24" s="126">
        <v>0.89</v>
      </c>
      <c r="F24" s="63"/>
      <c r="G24" s="52">
        <v>38015</v>
      </c>
      <c r="H24" s="125"/>
      <c r="I24" s="389"/>
      <c r="J24" s="46"/>
      <c r="K24" s="40">
        <v>24879.957</v>
      </c>
      <c r="L24" s="21"/>
      <c r="M24" s="47"/>
      <c r="N24" s="27"/>
      <c r="O24" s="40"/>
      <c r="P24" s="21"/>
    </row>
    <row r="25" spans="3:16" ht="15.75" customHeight="1">
      <c r="C25" s="43" t="s">
        <v>1145</v>
      </c>
      <c r="D25" s="44"/>
      <c r="E25" s="126">
        <v>1.025</v>
      </c>
      <c r="F25" s="63"/>
      <c r="G25" s="52">
        <v>37931</v>
      </c>
      <c r="H25" s="125">
        <v>38113</v>
      </c>
      <c r="I25" s="389"/>
      <c r="J25" s="46">
        <v>38113</v>
      </c>
      <c r="K25" s="40">
        <v>22889.37</v>
      </c>
      <c r="L25" s="21"/>
      <c r="M25" s="47" t="s">
        <v>98</v>
      </c>
      <c r="N25" s="27"/>
      <c r="O25" s="40">
        <f>K25+K26</f>
        <v>48610.505</v>
      </c>
      <c r="P25" s="21"/>
    </row>
    <row r="26" spans="3:16" ht="15.75" customHeight="1">
      <c r="C26" s="43"/>
      <c r="D26" s="44"/>
      <c r="E26" s="126">
        <v>0.92</v>
      </c>
      <c r="F26" s="63"/>
      <c r="G26" s="52">
        <v>38022</v>
      </c>
      <c r="H26" s="125"/>
      <c r="I26" s="389"/>
      <c r="J26" s="46"/>
      <c r="K26" s="40">
        <v>25721.135</v>
      </c>
      <c r="L26" s="21"/>
      <c r="M26" s="47"/>
      <c r="N26" s="27"/>
      <c r="O26" s="40"/>
      <c r="P26" s="21"/>
    </row>
    <row r="27" spans="3:16" ht="15.75" customHeight="1">
      <c r="C27" s="43" t="s">
        <v>1035</v>
      </c>
      <c r="D27" s="44"/>
      <c r="E27" s="126">
        <v>1.04</v>
      </c>
      <c r="F27" s="63"/>
      <c r="G27" s="52">
        <v>37938</v>
      </c>
      <c r="H27" s="125">
        <v>38120</v>
      </c>
      <c r="I27" s="389"/>
      <c r="J27" s="46">
        <v>38120</v>
      </c>
      <c r="K27" s="40">
        <v>21602.648</v>
      </c>
      <c r="L27" s="21"/>
      <c r="M27" s="47" t="s">
        <v>98</v>
      </c>
      <c r="N27" s="27"/>
      <c r="O27" s="40">
        <f>K27+K28</f>
        <v>47352.265</v>
      </c>
      <c r="P27" s="21"/>
    </row>
    <row r="28" spans="3:16" ht="15.75" customHeight="1">
      <c r="C28" s="43"/>
      <c r="D28" s="44"/>
      <c r="E28" s="126">
        <v>0.92</v>
      </c>
      <c r="F28" s="63"/>
      <c r="G28" s="52">
        <v>38029</v>
      </c>
      <c r="H28" s="125"/>
      <c r="I28" s="389"/>
      <c r="J28" s="46"/>
      <c r="K28" s="40">
        <v>25749.617</v>
      </c>
      <c r="L28" s="21"/>
      <c r="M28" s="47"/>
      <c r="N28" s="27"/>
      <c r="O28" s="40"/>
      <c r="P28" s="21"/>
    </row>
    <row r="29" spans="3:16" ht="15.75" customHeight="1">
      <c r="C29" s="43" t="s">
        <v>873</v>
      </c>
      <c r="D29" s="44"/>
      <c r="E29" s="126">
        <v>1.01</v>
      </c>
      <c r="F29" s="63"/>
      <c r="G29" s="52">
        <v>37945</v>
      </c>
      <c r="H29" s="125">
        <v>38127</v>
      </c>
      <c r="I29" s="389"/>
      <c r="J29" s="46">
        <v>38127</v>
      </c>
      <c r="K29" s="40">
        <v>21893.394</v>
      </c>
      <c r="L29" s="21"/>
      <c r="M29" s="47" t="s">
        <v>98</v>
      </c>
      <c r="N29" s="27"/>
      <c r="O29" s="40">
        <f>K29+K30</f>
        <v>47534.593</v>
      </c>
      <c r="P29" s="21"/>
    </row>
    <row r="30" spans="3:16" ht="15.75" customHeight="1">
      <c r="C30" s="43"/>
      <c r="D30" s="44"/>
      <c r="E30" s="126">
        <v>0.915</v>
      </c>
      <c r="F30" s="63"/>
      <c r="G30" s="52">
        <v>38036</v>
      </c>
      <c r="H30" s="125"/>
      <c r="I30" s="389"/>
      <c r="J30" s="46"/>
      <c r="K30" s="40">
        <v>25641.199</v>
      </c>
      <c r="L30" s="21"/>
      <c r="M30" s="47"/>
      <c r="N30" s="27"/>
      <c r="O30" s="40"/>
      <c r="P30" s="21"/>
    </row>
    <row r="31" spans="3:16" ht="15.75" customHeight="1">
      <c r="C31" s="43" t="s">
        <v>756</v>
      </c>
      <c r="D31" s="44"/>
      <c r="E31" s="126">
        <v>1.01</v>
      </c>
      <c r="F31" s="63"/>
      <c r="G31" s="52">
        <v>37953</v>
      </c>
      <c r="H31" s="125">
        <v>38134</v>
      </c>
      <c r="I31" s="389"/>
      <c r="J31" s="46">
        <v>38134</v>
      </c>
      <c r="K31" s="40">
        <v>21867.167</v>
      </c>
      <c r="L31" s="21"/>
      <c r="M31" s="47" t="s">
        <v>98</v>
      </c>
      <c r="N31" s="27"/>
      <c r="O31" s="40">
        <f>K31+K32</f>
        <v>47538.408</v>
      </c>
      <c r="P31" s="21"/>
    </row>
    <row r="32" spans="3:16" ht="15.75" customHeight="1">
      <c r="C32" s="43"/>
      <c r="D32" s="44"/>
      <c r="E32" s="126">
        <v>0.93</v>
      </c>
      <c r="F32" s="63"/>
      <c r="G32" s="52">
        <v>38043</v>
      </c>
      <c r="H32" s="125"/>
      <c r="I32" s="389"/>
      <c r="J32" s="46"/>
      <c r="K32" s="40">
        <v>25671.241</v>
      </c>
      <c r="L32" s="21"/>
      <c r="M32" s="47"/>
      <c r="N32" s="27"/>
      <c r="O32" s="40"/>
      <c r="P32" s="21"/>
    </row>
    <row r="33" spans="3:16" ht="15.75" customHeight="1">
      <c r="C33" s="43" t="s">
        <v>898</v>
      </c>
      <c r="D33" s="44"/>
      <c r="E33" s="126">
        <v>1.03</v>
      </c>
      <c r="F33" s="63"/>
      <c r="G33" s="52">
        <v>37959</v>
      </c>
      <c r="H33" s="125">
        <v>38141</v>
      </c>
      <c r="I33" s="389"/>
      <c r="J33" s="46">
        <v>38141</v>
      </c>
      <c r="K33" s="40">
        <v>21857.8</v>
      </c>
      <c r="L33" s="21"/>
      <c r="M33" s="47" t="s">
        <v>98</v>
      </c>
      <c r="N33" s="27"/>
      <c r="O33" s="40">
        <f>K33+K34</f>
        <v>47261.505999999994</v>
      </c>
      <c r="P33" s="21"/>
    </row>
    <row r="34" spans="3:16" ht="15.75" customHeight="1">
      <c r="C34" s="43"/>
      <c r="D34" s="44"/>
      <c r="E34" s="126">
        <v>0.94</v>
      </c>
      <c r="F34" s="63"/>
      <c r="G34" s="52">
        <v>38050</v>
      </c>
      <c r="H34" s="125"/>
      <c r="I34" s="389"/>
      <c r="J34" s="46"/>
      <c r="K34" s="40">
        <v>25403.706</v>
      </c>
      <c r="L34" s="21"/>
      <c r="M34" s="47"/>
      <c r="N34" s="27"/>
      <c r="O34" s="40"/>
      <c r="P34" s="21"/>
    </row>
    <row r="35" spans="3:16" ht="15.75" customHeight="1">
      <c r="C35" s="43" t="s">
        <v>899</v>
      </c>
      <c r="D35" s="44"/>
      <c r="E35" s="126">
        <v>1</v>
      </c>
      <c r="F35" s="63"/>
      <c r="G35" s="52">
        <v>37966</v>
      </c>
      <c r="H35" s="125">
        <v>38148</v>
      </c>
      <c r="I35" s="389"/>
      <c r="J35" s="46">
        <v>38148</v>
      </c>
      <c r="K35" s="40">
        <v>21823.487</v>
      </c>
      <c r="L35" s="21"/>
      <c r="M35" s="47" t="s">
        <v>98</v>
      </c>
      <c r="N35" s="27"/>
      <c r="O35" s="40">
        <f>K35+K36</f>
        <v>46696.956000000006</v>
      </c>
      <c r="P35" s="21"/>
    </row>
    <row r="36" spans="3:16" ht="15.75" customHeight="1">
      <c r="C36" s="43"/>
      <c r="D36" s="44"/>
      <c r="E36" s="126">
        <v>0.93</v>
      </c>
      <c r="F36" s="63"/>
      <c r="G36" s="52">
        <v>38057</v>
      </c>
      <c r="H36" s="125"/>
      <c r="I36" s="389"/>
      <c r="J36" s="46"/>
      <c r="K36" s="40">
        <v>24873.469</v>
      </c>
      <c r="L36" s="21"/>
      <c r="M36" s="47"/>
      <c r="N36" s="27"/>
      <c r="O36" s="40"/>
      <c r="P36" s="21"/>
    </row>
    <row r="37" spans="3:16" ht="15.75" customHeight="1">
      <c r="C37" s="43" t="s">
        <v>900</v>
      </c>
      <c r="D37" s="44"/>
      <c r="E37" s="126">
        <v>0.98</v>
      </c>
      <c r="F37" s="63"/>
      <c r="G37" s="52">
        <v>37973</v>
      </c>
      <c r="H37" s="125">
        <v>38155</v>
      </c>
      <c r="I37" s="389"/>
      <c r="J37" s="46">
        <v>38155</v>
      </c>
      <c r="K37" s="40">
        <v>19289.678</v>
      </c>
      <c r="L37" s="21"/>
      <c r="M37" s="47" t="s">
        <v>98</v>
      </c>
      <c r="N37" s="27"/>
      <c r="O37" s="40">
        <f>K37+K38</f>
        <v>43065.93</v>
      </c>
      <c r="P37" s="21"/>
    </row>
    <row r="38" spans="3:16" ht="15.75" customHeight="1">
      <c r="C38" s="43"/>
      <c r="D38" s="44"/>
      <c r="E38" s="126">
        <v>0.945</v>
      </c>
      <c r="F38" s="63"/>
      <c r="G38" s="52">
        <v>38064</v>
      </c>
      <c r="H38" s="125"/>
      <c r="I38" s="389"/>
      <c r="J38" s="46"/>
      <c r="K38" s="40">
        <v>23776.252</v>
      </c>
      <c r="L38" s="21"/>
      <c r="M38" s="47"/>
      <c r="N38" s="27"/>
      <c r="O38" s="40"/>
      <c r="P38" s="21"/>
    </row>
    <row r="39" spans="3:16" ht="15.75" customHeight="1">
      <c r="C39" s="43" t="s">
        <v>901</v>
      </c>
      <c r="D39" s="44"/>
      <c r="E39" s="126">
        <v>0.97</v>
      </c>
      <c r="F39" s="63"/>
      <c r="G39" s="52">
        <v>37981</v>
      </c>
      <c r="H39" s="125">
        <v>38162</v>
      </c>
      <c r="I39" s="389"/>
      <c r="J39" s="46">
        <v>38162</v>
      </c>
      <c r="K39" s="40">
        <v>19354.225</v>
      </c>
      <c r="L39" s="21"/>
      <c r="M39" s="47" t="s">
        <v>98</v>
      </c>
      <c r="N39" s="27"/>
      <c r="O39" s="40">
        <f>K39+K40</f>
        <v>43274.240999999995</v>
      </c>
      <c r="P39" s="21"/>
    </row>
    <row r="40" spans="3:16" ht="15.75" customHeight="1">
      <c r="C40" s="43"/>
      <c r="D40" s="44"/>
      <c r="E40" s="126">
        <v>0.93</v>
      </c>
      <c r="F40" s="63"/>
      <c r="G40" s="52">
        <v>38071</v>
      </c>
      <c r="H40" s="125"/>
      <c r="I40" s="389"/>
      <c r="J40" s="46"/>
      <c r="K40" s="40">
        <v>23920.016</v>
      </c>
      <c r="L40" s="21"/>
      <c r="M40" s="47"/>
      <c r="N40" s="27"/>
      <c r="O40" s="40"/>
      <c r="P40" s="21"/>
    </row>
    <row r="41" spans="3:16" ht="15.75" customHeight="1">
      <c r="C41" s="43" t="s">
        <v>11</v>
      </c>
      <c r="D41" s="44"/>
      <c r="E41" s="126">
        <v>0.995</v>
      </c>
      <c r="F41" s="63"/>
      <c r="G41" s="52">
        <v>37988</v>
      </c>
      <c r="H41" s="125">
        <v>38169</v>
      </c>
      <c r="I41" s="389"/>
      <c r="J41" s="46">
        <v>38169</v>
      </c>
      <c r="K41" s="40">
        <v>20662.172</v>
      </c>
      <c r="L41" s="21"/>
      <c r="M41" s="47" t="s">
        <v>98</v>
      </c>
      <c r="N41" s="27"/>
      <c r="O41" s="40">
        <f aca="true" t="shared" si="0" ref="O41:O53">K41</f>
        <v>20662.172</v>
      </c>
      <c r="P41" s="21"/>
    </row>
    <row r="42" spans="3:16" ht="15.75" customHeight="1">
      <c r="C42" s="43" t="s">
        <v>10</v>
      </c>
      <c r="D42" s="44"/>
      <c r="E42" s="126">
        <v>1.02</v>
      </c>
      <c r="F42" s="63"/>
      <c r="G42" s="52">
        <v>37994</v>
      </c>
      <c r="H42" s="125">
        <v>38176</v>
      </c>
      <c r="I42" s="389"/>
      <c r="J42" s="46">
        <v>38176</v>
      </c>
      <c r="K42" s="40">
        <v>21785.231</v>
      </c>
      <c r="L42" s="21"/>
      <c r="M42" s="47" t="s">
        <v>98</v>
      </c>
      <c r="N42" s="27"/>
      <c r="O42" s="40">
        <f t="shared" si="0"/>
        <v>21785.231</v>
      </c>
      <c r="P42" s="21"/>
    </row>
    <row r="43" spans="3:16" ht="15.75" customHeight="1">
      <c r="C43" s="43" t="s">
        <v>9</v>
      </c>
      <c r="D43" s="44"/>
      <c r="E43" s="126">
        <v>0.95</v>
      </c>
      <c r="F43" s="63"/>
      <c r="G43" s="52">
        <v>38001</v>
      </c>
      <c r="H43" s="125">
        <v>38183</v>
      </c>
      <c r="I43" s="389"/>
      <c r="J43" s="46">
        <v>38183</v>
      </c>
      <c r="K43" s="40">
        <v>21989.261</v>
      </c>
      <c r="L43" s="21"/>
      <c r="M43" s="47" t="s">
        <v>98</v>
      </c>
      <c r="N43" s="27"/>
      <c r="O43" s="40">
        <f t="shared" si="0"/>
        <v>21989.261</v>
      </c>
      <c r="P43" s="21"/>
    </row>
    <row r="44" spans="3:16" ht="15.75" customHeight="1">
      <c r="C44" s="43" t="s">
        <v>8</v>
      </c>
      <c r="D44" s="44"/>
      <c r="E44" s="126">
        <v>0.95</v>
      </c>
      <c r="F44" s="63"/>
      <c r="G44" s="52">
        <v>38008</v>
      </c>
      <c r="H44" s="125">
        <v>38190</v>
      </c>
      <c r="I44" s="389"/>
      <c r="J44" s="46">
        <v>38190</v>
      </c>
      <c r="K44" s="40">
        <v>22017.389</v>
      </c>
      <c r="L44" s="21"/>
      <c r="M44" s="47" t="s">
        <v>98</v>
      </c>
      <c r="N44" s="27"/>
      <c r="O44" s="40">
        <f t="shared" si="0"/>
        <v>22017.389</v>
      </c>
      <c r="P44" s="21"/>
    </row>
    <row r="45" spans="3:16" ht="15.75" customHeight="1">
      <c r="C45" s="43" t="s">
        <v>7</v>
      </c>
      <c r="D45" s="44"/>
      <c r="E45" s="126">
        <v>0.955</v>
      </c>
      <c r="F45" s="63"/>
      <c r="G45" s="52">
        <v>38015</v>
      </c>
      <c r="H45" s="125">
        <v>38197</v>
      </c>
      <c r="I45" s="389"/>
      <c r="J45" s="46">
        <v>38197</v>
      </c>
      <c r="K45" s="40">
        <v>21937.616</v>
      </c>
      <c r="L45" s="21"/>
      <c r="M45" s="47" t="s">
        <v>98</v>
      </c>
      <c r="N45" s="27"/>
      <c r="O45" s="40">
        <f t="shared" si="0"/>
        <v>21937.616</v>
      </c>
      <c r="P45" s="21"/>
    </row>
    <row r="46" spans="3:16" ht="15.75" customHeight="1">
      <c r="C46" s="43" t="s">
        <v>656</v>
      </c>
      <c r="D46" s="44"/>
      <c r="E46" s="126">
        <v>1</v>
      </c>
      <c r="F46" s="63"/>
      <c r="G46" s="52">
        <v>38022</v>
      </c>
      <c r="H46" s="125">
        <v>38204</v>
      </c>
      <c r="I46" s="389"/>
      <c r="J46" s="46">
        <v>38204</v>
      </c>
      <c r="K46" s="40">
        <v>23053.803</v>
      </c>
      <c r="L46" s="21"/>
      <c r="M46" s="47" t="s">
        <v>98</v>
      </c>
      <c r="N46" s="27"/>
      <c r="O46" s="40">
        <f t="shared" si="0"/>
        <v>23053.803</v>
      </c>
      <c r="P46" s="21"/>
    </row>
    <row r="47" spans="3:16" ht="15.75" customHeight="1">
      <c r="C47" s="43" t="s">
        <v>866</v>
      </c>
      <c r="D47" s="44"/>
      <c r="E47" s="126">
        <v>0.99</v>
      </c>
      <c r="F47" s="63"/>
      <c r="G47" s="52">
        <v>38029</v>
      </c>
      <c r="H47" s="125">
        <v>38211</v>
      </c>
      <c r="I47" s="389"/>
      <c r="J47" s="46">
        <v>38211</v>
      </c>
      <c r="K47" s="40">
        <v>22996.751</v>
      </c>
      <c r="L47" s="21"/>
      <c r="M47" s="47" t="s">
        <v>98</v>
      </c>
      <c r="N47" s="27"/>
      <c r="O47" s="40">
        <f t="shared" si="0"/>
        <v>22996.751</v>
      </c>
      <c r="P47" s="21"/>
    </row>
    <row r="48" spans="3:16" ht="15.75" customHeight="1">
      <c r="C48" s="43" t="s">
        <v>321</v>
      </c>
      <c r="D48" s="44"/>
      <c r="E48" s="126">
        <v>0.975</v>
      </c>
      <c r="F48" s="63"/>
      <c r="G48" s="52">
        <v>38036</v>
      </c>
      <c r="H48" s="125">
        <v>38218</v>
      </c>
      <c r="I48" s="389"/>
      <c r="J48" s="46">
        <v>38218</v>
      </c>
      <c r="K48" s="40">
        <v>23188.604</v>
      </c>
      <c r="L48" s="21"/>
      <c r="M48" s="47" t="s">
        <v>98</v>
      </c>
      <c r="N48" s="27"/>
      <c r="O48" s="40">
        <f t="shared" si="0"/>
        <v>23188.604</v>
      </c>
      <c r="P48" s="21"/>
    </row>
    <row r="49" spans="3:16" ht="15.75" customHeight="1">
      <c r="C49" s="43" t="s">
        <v>424</v>
      </c>
      <c r="D49" s="44"/>
      <c r="E49" s="126">
        <v>0.995</v>
      </c>
      <c r="F49" s="63"/>
      <c r="G49" s="52">
        <v>38043</v>
      </c>
      <c r="H49" s="125">
        <v>38225</v>
      </c>
      <c r="I49" s="389"/>
      <c r="J49" s="46">
        <v>38225</v>
      </c>
      <c r="K49" s="40">
        <v>23111.693</v>
      </c>
      <c r="L49" s="21"/>
      <c r="M49" s="47" t="s">
        <v>98</v>
      </c>
      <c r="N49" s="27"/>
      <c r="O49" s="40">
        <f t="shared" si="0"/>
        <v>23111.693</v>
      </c>
      <c r="P49" s="21"/>
    </row>
    <row r="50" spans="3:16" ht="15.75" customHeight="1">
      <c r="C50" s="43" t="s">
        <v>290</v>
      </c>
      <c r="D50" s="44"/>
      <c r="E50" s="126">
        <v>0.99</v>
      </c>
      <c r="F50" s="63"/>
      <c r="G50" s="52">
        <v>38050</v>
      </c>
      <c r="H50" s="125">
        <v>38232</v>
      </c>
      <c r="I50" s="389"/>
      <c r="J50" s="46">
        <v>38232</v>
      </c>
      <c r="K50" s="40">
        <v>23021.412</v>
      </c>
      <c r="L50" s="21"/>
      <c r="M50" s="47" t="s">
        <v>98</v>
      </c>
      <c r="N50" s="27"/>
      <c r="O50" s="40">
        <f t="shared" si="0"/>
        <v>23021.412</v>
      </c>
      <c r="P50" s="21"/>
    </row>
    <row r="51" spans="3:16" ht="15.75" customHeight="1">
      <c r="C51" s="43" t="s">
        <v>291</v>
      </c>
      <c r="D51" s="44"/>
      <c r="E51" s="126">
        <v>0.975</v>
      </c>
      <c r="F51" s="63"/>
      <c r="G51" s="52">
        <v>38057</v>
      </c>
      <c r="H51" s="125">
        <v>38239</v>
      </c>
      <c r="I51" s="389"/>
      <c r="J51" s="46">
        <v>38239</v>
      </c>
      <c r="K51" s="40">
        <v>22848.846</v>
      </c>
      <c r="L51" s="21"/>
      <c r="M51" s="47" t="s">
        <v>98</v>
      </c>
      <c r="N51" s="27"/>
      <c r="O51" s="40">
        <f t="shared" si="0"/>
        <v>22848.846</v>
      </c>
      <c r="P51" s="21"/>
    </row>
    <row r="52" spans="3:16" ht="15.75" customHeight="1">
      <c r="C52" s="43" t="s">
        <v>292</v>
      </c>
      <c r="D52" s="44"/>
      <c r="E52" s="126">
        <v>0.99</v>
      </c>
      <c r="F52" s="63"/>
      <c r="G52" s="52">
        <v>38064</v>
      </c>
      <c r="H52" s="125">
        <v>38246</v>
      </c>
      <c r="I52" s="389"/>
      <c r="J52" s="46">
        <v>38246</v>
      </c>
      <c r="K52" s="40">
        <v>21631.452</v>
      </c>
      <c r="L52" s="21"/>
      <c r="M52" s="47" t="s">
        <v>98</v>
      </c>
      <c r="N52" s="27"/>
      <c r="O52" s="40">
        <f t="shared" si="0"/>
        <v>21631.452</v>
      </c>
      <c r="P52" s="21"/>
    </row>
    <row r="53" spans="3:16" ht="15.75" customHeight="1">
      <c r="C53" s="43" t="s">
        <v>293</v>
      </c>
      <c r="D53" s="44"/>
      <c r="E53" s="126">
        <v>0.99</v>
      </c>
      <c r="F53" s="63"/>
      <c r="G53" s="52">
        <v>38071</v>
      </c>
      <c r="H53" s="125">
        <v>38253</v>
      </c>
      <c r="I53" s="389"/>
      <c r="J53" s="46">
        <v>38253</v>
      </c>
      <c r="K53" s="40">
        <v>21659.076</v>
      </c>
      <c r="L53" s="21"/>
      <c r="M53" s="47" t="s">
        <v>98</v>
      </c>
      <c r="N53" s="27"/>
      <c r="O53" s="40">
        <f t="shared" si="0"/>
        <v>21659.076</v>
      </c>
      <c r="P53" s="21"/>
    </row>
    <row r="54" spans="2:16" ht="21" customHeight="1">
      <c r="B54" s="9" t="s">
        <v>252</v>
      </c>
      <c r="G54" s="16" t="s">
        <v>99</v>
      </c>
      <c r="H54" s="46" t="s">
        <v>100</v>
      </c>
      <c r="I54" s="3"/>
      <c r="J54" s="34" t="s">
        <v>101</v>
      </c>
      <c r="K54" s="56">
        <f>SUM(K11:K53)</f>
        <v>984970.11</v>
      </c>
      <c r="L54" s="212"/>
      <c r="M54" s="213" t="s">
        <v>98</v>
      </c>
      <c r="N54" s="214"/>
      <c r="O54" s="56">
        <f>SUM(O11:O53)</f>
        <v>984970.1100000002</v>
      </c>
      <c r="P54" s="212"/>
    </row>
    <row r="55" spans="2:16" ht="15.75" customHeight="1">
      <c r="B55" t="s">
        <v>253</v>
      </c>
      <c r="G55" s="16" t="s">
        <v>99</v>
      </c>
      <c r="H55" s="46" t="s">
        <v>100</v>
      </c>
      <c r="I55" s="3"/>
      <c r="J55" s="34" t="s">
        <v>101</v>
      </c>
      <c r="K55" s="215" t="s">
        <v>448</v>
      </c>
      <c r="L55" s="28"/>
      <c r="M55" s="216" t="s">
        <v>98</v>
      </c>
      <c r="N55" s="217"/>
      <c r="O55" s="215" t="str">
        <f>K55</f>
        <v>*  </v>
      </c>
      <c r="P55" s="28"/>
    </row>
    <row r="56" spans="2:16" ht="15.75" customHeight="1" thickBot="1">
      <c r="B56" s="75" t="s">
        <v>254</v>
      </c>
      <c r="G56" s="16" t="s">
        <v>99</v>
      </c>
      <c r="H56" s="46" t="s">
        <v>100</v>
      </c>
      <c r="I56" s="3"/>
      <c r="J56" s="34" t="s">
        <v>101</v>
      </c>
      <c r="K56" s="218">
        <f>+K54+0.447</f>
        <v>984970.557</v>
      </c>
      <c r="L56" s="219"/>
      <c r="M56" s="221" t="s">
        <v>98</v>
      </c>
      <c r="N56" s="222"/>
      <c r="O56" s="218">
        <f>+O54+0.447</f>
        <v>984970.5570000003</v>
      </c>
      <c r="P56" s="24"/>
    </row>
    <row r="57" spans="7:16" ht="15.75" customHeight="1" thickTop="1">
      <c r="G57" s="14"/>
      <c r="H57" s="45"/>
      <c r="J57" s="34"/>
      <c r="K57" s="40"/>
      <c r="L57" s="21"/>
      <c r="M57" s="40"/>
      <c r="N57" s="21"/>
      <c r="O57" s="40"/>
      <c r="P57" s="21"/>
    </row>
    <row r="58" spans="2:16" ht="21" customHeight="1">
      <c r="B58" s="9" t="s">
        <v>102</v>
      </c>
      <c r="D58" s="155" t="s">
        <v>2</v>
      </c>
      <c r="F58" s="19"/>
      <c r="G58" s="18"/>
      <c r="H58" s="18"/>
      <c r="I58" s="39"/>
      <c r="J58" s="68"/>
      <c r="K58" s="14"/>
      <c r="M58" s="14"/>
      <c r="O58" s="40"/>
      <c r="P58" s="21"/>
    </row>
    <row r="59" spans="2:16" ht="17.25" customHeight="1">
      <c r="B59" s="9" t="s">
        <v>96</v>
      </c>
      <c r="D59" s="3" t="s">
        <v>103</v>
      </c>
      <c r="E59" s="3" t="s">
        <v>104</v>
      </c>
      <c r="F59" s="3"/>
      <c r="G59" s="69"/>
      <c r="H59" s="69"/>
      <c r="I59" s="42"/>
      <c r="J59" s="68"/>
      <c r="K59" s="14"/>
      <c r="M59" s="14"/>
      <c r="O59" s="40"/>
      <c r="P59" s="21"/>
    </row>
    <row r="60" spans="3:16" ht="15.75" customHeight="1">
      <c r="C60" s="43" t="s">
        <v>288</v>
      </c>
      <c r="D60" s="48" t="s">
        <v>802</v>
      </c>
      <c r="E60" s="89" t="s">
        <v>613</v>
      </c>
      <c r="F60" s="154"/>
      <c r="G60" s="52">
        <v>37376</v>
      </c>
      <c r="H60" s="46">
        <v>38107</v>
      </c>
      <c r="I60" s="3"/>
      <c r="J60" s="34" t="s">
        <v>738</v>
      </c>
      <c r="K60" s="40">
        <v>32654.971</v>
      </c>
      <c r="L60" s="21"/>
      <c r="M60" s="47" t="s">
        <v>98</v>
      </c>
      <c r="N60" s="27"/>
      <c r="O60" s="40">
        <f>K60-M60</f>
        <v>32654.971</v>
      </c>
      <c r="P60" s="21"/>
    </row>
    <row r="61" spans="3:16" ht="15.75" customHeight="1">
      <c r="C61" s="43" t="s">
        <v>500</v>
      </c>
      <c r="D61" s="48" t="s">
        <v>805</v>
      </c>
      <c r="E61" s="48" t="s">
        <v>835</v>
      </c>
      <c r="F61" s="154"/>
      <c r="G61" s="52">
        <v>34470</v>
      </c>
      <c r="H61" s="46">
        <v>38122</v>
      </c>
      <c r="I61" s="3"/>
      <c r="J61" s="34" t="s">
        <v>746</v>
      </c>
      <c r="K61" s="40">
        <v>14440.372</v>
      </c>
      <c r="L61" s="21"/>
      <c r="M61" s="47" t="s">
        <v>98</v>
      </c>
      <c r="N61" s="27"/>
      <c r="O61" s="40">
        <f>K61-M61</f>
        <v>14440.372</v>
      </c>
      <c r="P61" s="21"/>
    </row>
    <row r="62" spans="3:16" ht="15.75" customHeight="1">
      <c r="C62" s="43" t="s">
        <v>28</v>
      </c>
      <c r="D62" s="48" t="s">
        <v>799</v>
      </c>
      <c r="E62" s="152" t="s">
        <v>832</v>
      </c>
      <c r="F62" s="154"/>
      <c r="G62" s="52">
        <v>36297</v>
      </c>
      <c r="H62" s="46">
        <v>38122</v>
      </c>
      <c r="I62" s="3"/>
      <c r="J62" s="34" t="s">
        <v>746</v>
      </c>
      <c r="K62" s="40">
        <v>18925.383</v>
      </c>
      <c r="L62" s="21"/>
      <c r="M62" s="47" t="s">
        <v>98</v>
      </c>
      <c r="N62" s="27"/>
      <c r="O62" s="40">
        <f>K62-M62</f>
        <v>18925.383</v>
      </c>
      <c r="P62" s="21"/>
    </row>
    <row r="63" spans="3:16" ht="15.75" customHeight="1">
      <c r="C63" s="43" t="s">
        <v>1037</v>
      </c>
      <c r="D63" s="48" t="s">
        <v>808</v>
      </c>
      <c r="E63" s="89" t="s">
        <v>1170</v>
      </c>
      <c r="F63" s="154"/>
      <c r="G63" s="52">
        <v>37407</v>
      </c>
      <c r="H63" s="90">
        <v>38138</v>
      </c>
      <c r="I63" s="3"/>
      <c r="J63" s="34" t="s">
        <v>743</v>
      </c>
      <c r="K63" s="40">
        <v>33297.4</v>
      </c>
      <c r="L63" s="21"/>
      <c r="M63" s="47" t="s">
        <v>98</v>
      </c>
      <c r="N63" s="27"/>
      <c r="O63" s="40">
        <f>K63+M63</f>
        <v>33297.4</v>
      </c>
      <c r="P63" s="21"/>
    </row>
    <row r="64" spans="3:16" ht="15.75" customHeight="1">
      <c r="C64" s="43" t="s">
        <v>503</v>
      </c>
      <c r="D64" s="48" t="s">
        <v>811</v>
      </c>
      <c r="E64" s="89" t="s">
        <v>506</v>
      </c>
      <c r="F64" s="154"/>
      <c r="G64" s="52">
        <v>37438</v>
      </c>
      <c r="H64" s="46">
        <v>38168</v>
      </c>
      <c r="I64" s="3"/>
      <c r="J64" s="34" t="s">
        <v>744</v>
      </c>
      <c r="K64" s="40">
        <v>34050.042</v>
      </c>
      <c r="L64" s="21"/>
      <c r="M64" s="47" t="s">
        <v>98</v>
      </c>
      <c r="N64" s="27"/>
      <c r="O64" s="40">
        <f>K64-M64</f>
        <v>34050.042</v>
      </c>
      <c r="P64" s="21"/>
    </row>
    <row r="65" spans="3:16" ht="15.75" customHeight="1">
      <c r="C65" s="43" t="s">
        <v>1190</v>
      </c>
      <c r="D65" s="48" t="s">
        <v>814</v>
      </c>
      <c r="E65" s="89" t="s">
        <v>1186</v>
      </c>
      <c r="F65" s="154"/>
      <c r="G65" s="52">
        <v>37468</v>
      </c>
      <c r="H65" s="46">
        <v>38199</v>
      </c>
      <c r="I65" s="3"/>
      <c r="J65" s="135" t="s">
        <v>112</v>
      </c>
      <c r="K65" s="40">
        <v>33250.01</v>
      </c>
      <c r="L65" s="21"/>
      <c r="M65" s="47" t="s">
        <v>98</v>
      </c>
      <c r="N65" s="27"/>
      <c r="O65" s="40">
        <f>K65-M65</f>
        <v>33250.01</v>
      </c>
      <c r="P65" s="21"/>
    </row>
    <row r="66" spans="3:16" ht="15.75" customHeight="1">
      <c r="C66" s="43" t="s">
        <v>1038</v>
      </c>
      <c r="D66" s="48" t="s">
        <v>816</v>
      </c>
      <c r="E66" s="48" t="s">
        <v>835</v>
      </c>
      <c r="F66" s="154"/>
      <c r="G66" s="52">
        <v>34561</v>
      </c>
      <c r="H66" s="46">
        <v>38214</v>
      </c>
      <c r="I66" s="3"/>
      <c r="J66" s="34" t="s">
        <v>792</v>
      </c>
      <c r="K66" s="40">
        <v>13346.467</v>
      </c>
      <c r="L66" s="21"/>
      <c r="M66" s="47" t="s">
        <v>98</v>
      </c>
      <c r="N66" s="27"/>
      <c r="O66" s="40">
        <f>K66-M66</f>
        <v>13346.467</v>
      </c>
      <c r="P66" s="21"/>
    </row>
    <row r="67" spans="3:16" ht="15.75" customHeight="1">
      <c r="C67" s="43" t="s">
        <v>29</v>
      </c>
      <c r="D67" s="48" t="s">
        <v>813</v>
      </c>
      <c r="E67" s="89" t="s">
        <v>812</v>
      </c>
      <c r="F67" s="154"/>
      <c r="G67" s="52">
        <v>36388</v>
      </c>
      <c r="H67" s="46">
        <v>38214</v>
      </c>
      <c r="I67" s="3"/>
      <c r="J67" s="34" t="s">
        <v>792</v>
      </c>
      <c r="K67" s="40">
        <v>18089.806</v>
      </c>
      <c r="L67" s="21"/>
      <c r="M67" s="47" t="s">
        <v>98</v>
      </c>
      <c r="N67" s="27"/>
      <c r="O67" s="40">
        <f>K67-M67</f>
        <v>18089.806</v>
      </c>
      <c r="P67" s="21"/>
    </row>
    <row r="68" spans="3:16" ht="15.75" customHeight="1">
      <c r="C68" s="43" t="s">
        <v>56</v>
      </c>
      <c r="D68" s="48" t="s">
        <v>818</v>
      </c>
      <c r="E68" s="89" t="s">
        <v>57</v>
      </c>
      <c r="F68" s="154"/>
      <c r="G68" s="52">
        <v>37502</v>
      </c>
      <c r="H68" s="90">
        <v>38230</v>
      </c>
      <c r="I68" s="3"/>
      <c r="J68" s="34" t="s">
        <v>795</v>
      </c>
      <c r="K68" s="40">
        <v>34541.397</v>
      </c>
      <c r="L68" s="21"/>
      <c r="M68" s="47" t="s">
        <v>98</v>
      </c>
      <c r="N68" s="27"/>
      <c r="O68" s="40">
        <f>K68+M68</f>
        <v>34541.397</v>
      </c>
      <c r="P68" s="21"/>
    </row>
    <row r="69" spans="3:16" ht="15.75" customHeight="1">
      <c r="C69" s="43" t="s">
        <v>59</v>
      </c>
      <c r="D69" s="48" t="s">
        <v>819</v>
      </c>
      <c r="E69" s="89" t="s">
        <v>60</v>
      </c>
      <c r="F69" s="154"/>
      <c r="G69" s="52">
        <v>37529</v>
      </c>
      <c r="H69" s="90">
        <v>38260</v>
      </c>
      <c r="I69" s="3"/>
      <c r="J69" s="34" t="s">
        <v>797</v>
      </c>
      <c r="K69" s="40">
        <v>34655.535</v>
      </c>
      <c r="L69" s="21"/>
      <c r="M69" s="47" t="s">
        <v>98</v>
      </c>
      <c r="N69" s="27"/>
      <c r="O69" s="40">
        <f>K69+M69</f>
        <v>34655.535</v>
      </c>
      <c r="P69" s="21"/>
    </row>
    <row r="70" spans="3:16" ht="15.75" customHeight="1">
      <c r="C70" s="43" t="s">
        <v>664</v>
      </c>
      <c r="D70" s="48" t="s">
        <v>822</v>
      </c>
      <c r="E70" s="89" t="s">
        <v>57</v>
      </c>
      <c r="F70" s="154"/>
      <c r="G70" s="52">
        <v>37560</v>
      </c>
      <c r="H70" s="90">
        <v>38291</v>
      </c>
      <c r="I70" s="3"/>
      <c r="J70" s="34" t="s">
        <v>804</v>
      </c>
      <c r="K70" s="40">
        <v>32439.549</v>
      </c>
      <c r="L70" s="21"/>
      <c r="M70" s="47" t="s">
        <v>98</v>
      </c>
      <c r="N70" s="27"/>
      <c r="O70" s="40">
        <f>K70+M70</f>
        <v>32439.549</v>
      </c>
      <c r="P70" s="21"/>
    </row>
    <row r="71" spans="3:16" ht="15.75" customHeight="1">
      <c r="C71" s="43" t="s">
        <v>55</v>
      </c>
      <c r="D71" s="48" t="s">
        <v>825</v>
      </c>
      <c r="E71" s="48" t="s">
        <v>826</v>
      </c>
      <c r="F71" s="154"/>
      <c r="G71" s="52">
        <v>34653</v>
      </c>
      <c r="H71" s="46">
        <v>38306</v>
      </c>
      <c r="I71" s="3"/>
      <c r="J71" s="34" t="s">
        <v>807</v>
      </c>
      <c r="K71" s="40">
        <v>14373.76</v>
      </c>
      <c r="L71" s="21"/>
      <c r="M71" s="47" t="s">
        <v>98</v>
      </c>
      <c r="N71" s="27"/>
      <c r="O71" s="40">
        <f aca="true" t="shared" si="1" ref="O71:O77">K71-M71</f>
        <v>14373.76</v>
      </c>
      <c r="P71" s="21"/>
    </row>
    <row r="72" spans="3:16" ht="15.75" customHeight="1">
      <c r="C72" s="43" t="s">
        <v>30</v>
      </c>
      <c r="D72" s="48" t="s">
        <v>821</v>
      </c>
      <c r="E72" s="48" t="s">
        <v>113</v>
      </c>
      <c r="F72" s="154"/>
      <c r="G72" s="52">
        <v>36479</v>
      </c>
      <c r="H72" s="46">
        <v>38306</v>
      </c>
      <c r="I72" s="3"/>
      <c r="J72" s="34" t="s">
        <v>807</v>
      </c>
      <c r="K72" s="40">
        <v>32658.145</v>
      </c>
      <c r="L72" s="21"/>
      <c r="M72" s="47" t="s">
        <v>98</v>
      </c>
      <c r="N72" s="27"/>
      <c r="O72" s="40">
        <f t="shared" si="1"/>
        <v>32658.145</v>
      </c>
      <c r="P72" s="21"/>
    </row>
    <row r="73" spans="3:16" ht="15.75" customHeight="1">
      <c r="C73" s="43" t="s">
        <v>856</v>
      </c>
      <c r="D73" s="48" t="s">
        <v>827</v>
      </c>
      <c r="E73" s="48">
        <v>2</v>
      </c>
      <c r="F73" s="154"/>
      <c r="G73" s="52">
        <v>37592</v>
      </c>
      <c r="H73" s="46">
        <v>38321</v>
      </c>
      <c r="I73" s="3"/>
      <c r="J73" s="34" t="s">
        <v>810</v>
      </c>
      <c r="K73" s="40">
        <v>32871.32</v>
      </c>
      <c r="L73" s="21"/>
      <c r="M73" s="47" t="s">
        <v>98</v>
      </c>
      <c r="N73" s="27"/>
      <c r="O73" s="40">
        <f t="shared" si="1"/>
        <v>32871.32</v>
      </c>
      <c r="P73" s="21"/>
    </row>
    <row r="74" spans="3:16" ht="15.75" customHeight="1">
      <c r="C74" s="43" t="s">
        <v>857</v>
      </c>
      <c r="D74" s="48" t="s">
        <v>105</v>
      </c>
      <c r="E74" s="141" t="s">
        <v>859</v>
      </c>
      <c r="F74" s="154"/>
      <c r="G74" s="52">
        <v>37621</v>
      </c>
      <c r="H74" s="46">
        <v>38352</v>
      </c>
      <c r="I74" s="3"/>
      <c r="J74" s="135" t="s">
        <v>106</v>
      </c>
      <c r="K74" s="40">
        <v>33203.363</v>
      </c>
      <c r="L74" s="21"/>
      <c r="M74" s="47" t="s">
        <v>98</v>
      </c>
      <c r="N74" s="27"/>
      <c r="O74" s="40">
        <f t="shared" si="1"/>
        <v>33203.363</v>
      </c>
      <c r="P74" s="21"/>
    </row>
    <row r="75" spans="3:16" ht="15.75" customHeight="1">
      <c r="C75" s="43" t="s">
        <v>180</v>
      </c>
      <c r="D75" s="48" t="s">
        <v>813</v>
      </c>
      <c r="E75" s="141" t="s">
        <v>1109</v>
      </c>
      <c r="F75" s="154"/>
      <c r="G75" s="52">
        <v>37652</v>
      </c>
      <c r="H75" s="46">
        <v>38383</v>
      </c>
      <c r="I75" s="3"/>
      <c r="J75" s="34" t="s">
        <v>868</v>
      </c>
      <c r="K75" s="40">
        <v>33837.124</v>
      </c>
      <c r="L75" s="21"/>
      <c r="M75" s="47" t="s">
        <v>98</v>
      </c>
      <c r="N75" s="27"/>
      <c r="O75" s="40">
        <f t="shared" si="1"/>
        <v>33837.124</v>
      </c>
      <c r="P75" s="21"/>
    </row>
    <row r="76" spans="3:16" ht="15.75" customHeight="1">
      <c r="C76" s="43" t="s">
        <v>858</v>
      </c>
      <c r="D76" s="48" t="s">
        <v>114</v>
      </c>
      <c r="E76" s="48" t="s">
        <v>823</v>
      </c>
      <c r="F76" s="154"/>
      <c r="G76" s="52">
        <v>34745</v>
      </c>
      <c r="H76" s="46">
        <v>38398</v>
      </c>
      <c r="I76" s="3"/>
      <c r="J76" s="34" t="s">
        <v>745</v>
      </c>
      <c r="K76" s="40">
        <v>13834.754</v>
      </c>
      <c r="L76" s="21"/>
      <c r="M76" s="47" t="s">
        <v>98</v>
      </c>
      <c r="N76" s="27"/>
      <c r="O76" s="40">
        <f t="shared" si="1"/>
        <v>13834.754</v>
      </c>
      <c r="P76" s="21"/>
    </row>
    <row r="77" spans="3:16" ht="15.75" customHeight="1">
      <c r="C77" s="43" t="s">
        <v>878</v>
      </c>
      <c r="D77" s="48" t="s">
        <v>821</v>
      </c>
      <c r="E77" s="141" t="s">
        <v>879</v>
      </c>
      <c r="F77" s="154"/>
      <c r="G77" s="52">
        <v>37680</v>
      </c>
      <c r="H77" s="46">
        <v>38411</v>
      </c>
      <c r="I77" s="3"/>
      <c r="J77" s="34" t="s">
        <v>747</v>
      </c>
      <c r="K77" s="40">
        <v>35331.909</v>
      </c>
      <c r="L77" s="21"/>
      <c r="M77" s="47" t="s">
        <v>98</v>
      </c>
      <c r="N77" s="27"/>
      <c r="O77" s="40">
        <f t="shared" si="1"/>
        <v>35331.909</v>
      </c>
      <c r="P77" s="21"/>
    </row>
    <row r="78" spans="3:16" ht="15.75" customHeight="1">
      <c r="C78" s="43" t="s">
        <v>960</v>
      </c>
      <c r="D78" s="48" t="s">
        <v>111</v>
      </c>
      <c r="E78" s="141" t="s">
        <v>1109</v>
      </c>
      <c r="F78" s="154"/>
      <c r="G78" s="52">
        <v>37711</v>
      </c>
      <c r="H78" s="46">
        <v>38442</v>
      </c>
      <c r="I78" s="3"/>
      <c r="J78" s="34" t="s">
        <v>739</v>
      </c>
      <c r="K78" s="40">
        <v>35211.162</v>
      </c>
      <c r="L78" s="21"/>
      <c r="M78" s="47" t="s">
        <v>98</v>
      </c>
      <c r="N78" s="27"/>
      <c r="O78" s="40">
        <f>K78</f>
        <v>35211.162</v>
      </c>
      <c r="P78" s="21"/>
    </row>
    <row r="79" spans="3:16" ht="15.75" customHeight="1">
      <c r="C79" s="43" t="s">
        <v>1099</v>
      </c>
      <c r="D79" s="48" t="s">
        <v>793</v>
      </c>
      <c r="E79" s="141" t="s">
        <v>1109</v>
      </c>
      <c r="F79" s="154"/>
      <c r="G79" s="52">
        <v>37741</v>
      </c>
      <c r="H79" s="46">
        <v>38472</v>
      </c>
      <c r="I79" s="3"/>
      <c r="J79" s="34" t="s">
        <v>738</v>
      </c>
      <c r="K79" s="40">
        <v>34295.459</v>
      </c>
      <c r="L79" s="21"/>
      <c r="M79" s="47" t="s">
        <v>98</v>
      </c>
      <c r="N79" s="27"/>
      <c r="O79" s="40">
        <f>K79</f>
        <v>34295.459</v>
      </c>
      <c r="P79" s="21"/>
    </row>
    <row r="80" spans="3:16" ht="15.75" customHeight="1">
      <c r="C80" s="43" t="s">
        <v>1033</v>
      </c>
      <c r="D80" s="48" t="s">
        <v>805</v>
      </c>
      <c r="E80" s="48" t="s">
        <v>803</v>
      </c>
      <c r="F80" s="154"/>
      <c r="G80" s="52">
        <v>34834</v>
      </c>
      <c r="H80" s="46">
        <v>38487</v>
      </c>
      <c r="I80" s="3"/>
      <c r="J80" s="34" t="s">
        <v>746</v>
      </c>
      <c r="K80" s="40">
        <v>14739.504</v>
      </c>
      <c r="L80" s="21"/>
      <c r="M80" s="47" t="s">
        <v>98</v>
      </c>
      <c r="N80" s="27"/>
      <c r="O80" s="40">
        <f>K80-M80</f>
        <v>14739.504</v>
      </c>
      <c r="P80" s="21"/>
    </row>
    <row r="81" spans="3:16" ht="15.75" customHeight="1">
      <c r="C81" s="43" t="s">
        <v>31</v>
      </c>
      <c r="D81" s="48" t="s">
        <v>108</v>
      </c>
      <c r="E81" s="89" t="s">
        <v>809</v>
      </c>
      <c r="F81" s="154"/>
      <c r="G81" s="52">
        <v>36661</v>
      </c>
      <c r="H81" s="46">
        <v>38487</v>
      </c>
      <c r="I81" s="3"/>
      <c r="J81" s="34" t="s">
        <v>746</v>
      </c>
      <c r="K81" s="40">
        <v>28562.37</v>
      </c>
      <c r="L81" s="21"/>
      <c r="M81" s="47" t="s">
        <v>98</v>
      </c>
      <c r="N81" s="27"/>
      <c r="O81" s="40">
        <f aca="true" t="shared" si="2" ref="O81:O93">K81-M81</f>
        <v>28562.37</v>
      </c>
      <c r="P81" s="21"/>
    </row>
    <row r="82" spans="3:16" ht="15.75" customHeight="1">
      <c r="C82" s="43" t="s">
        <v>871</v>
      </c>
      <c r="D82" s="48" t="s">
        <v>796</v>
      </c>
      <c r="E82" s="141" t="s">
        <v>260</v>
      </c>
      <c r="F82" s="154"/>
      <c r="G82" s="52">
        <v>37774</v>
      </c>
      <c r="H82" s="46">
        <v>38503</v>
      </c>
      <c r="I82" s="3"/>
      <c r="J82" s="34" t="s">
        <v>743</v>
      </c>
      <c r="K82" s="40">
        <v>31020.836</v>
      </c>
      <c r="L82" s="21"/>
      <c r="M82" s="47" t="s">
        <v>98</v>
      </c>
      <c r="N82" s="27"/>
      <c r="O82" s="40">
        <f t="shared" si="2"/>
        <v>31020.836</v>
      </c>
      <c r="P82" s="21"/>
    </row>
    <row r="83" spans="3:16" ht="15.75" customHeight="1">
      <c r="C83" s="43" t="s">
        <v>870</v>
      </c>
      <c r="D83" s="48" t="s">
        <v>802</v>
      </c>
      <c r="E83" s="141" t="s">
        <v>1095</v>
      </c>
      <c r="F83" s="154"/>
      <c r="G83" s="52">
        <v>37802</v>
      </c>
      <c r="H83" s="46">
        <v>38533</v>
      </c>
      <c r="I83" s="3"/>
      <c r="J83" s="34" t="s">
        <v>744</v>
      </c>
      <c r="K83" s="40">
        <v>31701.455</v>
      </c>
      <c r="L83" s="21"/>
      <c r="M83" s="47" t="s">
        <v>98</v>
      </c>
      <c r="N83" s="27"/>
      <c r="O83" s="40">
        <f t="shared" si="2"/>
        <v>31701.455</v>
      </c>
      <c r="P83" s="21"/>
    </row>
    <row r="84" spans="3:16" ht="15.75" customHeight="1">
      <c r="C84" s="43" t="s">
        <v>681</v>
      </c>
      <c r="D84" s="48" t="s">
        <v>808</v>
      </c>
      <c r="E84" s="141" t="s">
        <v>879</v>
      </c>
      <c r="F84" s="154"/>
      <c r="G84" s="52">
        <v>37833</v>
      </c>
      <c r="H84" s="46">
        <v>38564</v>
      </c>
      <c r="I84" s="3"/>
      <c r="J84" s="34" t="s">
        <v>112</v>
      </c>
      <c r="K84" s="40">
        <v>29997.026</v>
      </c>
      <c r="L84" s="21"/>
      <c r="M84" s="47" t="s">
        <v>98</v>
      </c>
      <c r="N84" s="27"/>
      <c r="O84" s="40">
        <f t="shared" si="2"/>
        <v>29997.026</v>
      </c>
      <c r="P84" s="21"/>
    </row>
    <row r="85" spans="3:16" ht="15.75" customHeight="1">
      <c r="C85" s="43" t="s">
        <v>261</v>
      </c>
      <c r="D85" s="48" t="s">
        <v>816</v>
      </c>
      <c r="E85" s="48" t="s">
        <v>803</v>
      </c>
      <c r="F85" s="154"/>
      <c r="G85" s="52">
        <v>34926</v>
      </c>
      <c r="H85" s="46">
        <v>38579</v>
      </c>
      <c r="I85" s="3"/>
      <c r="J85" s="34" t="s">
        <v>792</v>
      </c>
      <c r="K85" s="40">
        <v>15002.58</v>
      </c>
      <c r="L85" s="21"/>
      <c r="M85" s="47" t="s">
        <v>98</v>
      </c>
      <c r="N85" s="27"/>
      <c r="O85" s="40">
        <f t="shared" si="2"/>
        <v>15002.58</v>
      </c>
      <c r="P85" s="21"/>
    </row>
    <row r="86" spans="3:16" ht="15.75" customHeight="1">
      <c r="C86" s="43" t="s">
        <v>777</v>
      </c>
      <c r="D86" s="48" t="s">
        <v>811</v>
      </c>
      <c r="E86" s="89">
        <v>2</v>
      </c>
      <c r="F86" s="154"/>
      <c r="G86" s="52">
        <v>37866</v>
      </c>
      <c r="H86" s="46">
        <v>38595</v>
      </c>
      <c r="I86" s="3"/>
      <c r="J86" s="34" t="s">
        <v>778</v>
      </c>
      <c r="K86" s="40">
        <v>30592.178</v>
      </c>
      <c r="L86" s="21"/>
      <c r="M86" s="47" t="s">
        <v>98</v>
      </c>
      <c r="N86" s="27"/>
      <c r="O86" s="40">
        <f t="shared" si="2"/>
        <v>30592.178</v>
      </c>
      <c r="P86" s="21"/>
    </row>
    <row r="87" spans="3:16" ht="15.75" customHeight="1">
      <c r="C87" s="43" t="s">
        <v>863</v>
      </c>
      <c r="D87" s="48" t="s">
        <v>814</v>
      </c>
      <c r="E87" s="89" t="s">
        <v>1109</v>
      </c>
      <c r="F87" s="154"/>
      <c r="G87" s="52">
        <v>37894</v>
      </c>
      <c r="H87" s="46">
        <v>38625</v>
      </c>
      <c r="I87" s="3"/>
      <c r="J87" s="34" t="s">
        <v>797</v>
      </c>
      <c r="K87" s="40">
        <v>31538.969</v>
      </c>
      <c r="L87" s="21"/>
      <c r="M87" s="47" t="s">
        <v>98</v>
      </c>
      <c r="N87" s="27"/>
      <c r="O87" s="40">
        <f t="shared" si="2"/>
        <v>31538.969</v>
      </c>
      <c r="P87" s="21"/>
    </row>
    <row r="88" spans="3:16" ht="15.75" customHeight="1">
      <c r="C88" s="43" t="s">
        <v>495</v>
      </c>
      <c r="D88" s="48" t="s">
        <v>818</v>
      </c>
      <c r="E88" s="89" t="s">
        <v>1109</v>
      </c>
      <c r="F88" s="154"/>
      <c r="G88" s="52">
        <v>37925</v>
      </c>
      <c r="H88" s="46">
        <v>38656</v>
      </c>
      <c r="I88" s="3"/>
      <c r="J88" s="34" t="s">
        <v>804</v>
      </c>
      <c r="K88" s="40">
        <v>32368.42</v>
      </c>
      <c r="L88" s="21"/>
      <c r="M88" s="47" t="s">
        <v>98</v>
      </c>
      <c r="N88" s="27"/>
      <c r="O88" s="40">
        <f t="shared" si="2"/>
        <v>32368.42</v>
      </c>
      <c r="P88" s="21"/>
    </row>
    <row r="89" spans="3:16" ht="15.75" customHeight="1">
      <c r="C89" s="43" t="s">
        <v>776</v>
      </c>
      <c r="D89" s="48" t="s">
        <v>825</v>
      </c>
      <c r="E89" s="48" t="s">
        <v>113</v>
      </c>
      <c r="F89" s="154"/>
      <c r="G89" s="52">
        <v>35027</v>
      </c>
      <c r="H89" s="46">
        <v>38671</v>
      </c>
      <c r="I89" s="3"/>
      <c r="J89" s="34" t="s">
        <v>807</v>
      </c>
      <c r="K89" s="40">
        <v>15209.92</v>
      </c>
      <c r="L89" s="21"/>
      <c r="M89" s="47" t="s">
        <v>98</v>
      </c>
      <c r="N89" s="27"/>
      <c r="O89" s="40">
        <f t="shared" si="2"/>
        <v>15209.92</v>
      </c>
      <c r="P89" s="21"/>
    </row>
    <row r="90" spans="3:16" ht="15.75" customHeight="1">
      <c r="C90" s="43" t="s">
        <v>32</v>
      </c>
      <c r="D90" s="48" t="s">
        <v>799</v>
      </c>
      <c r="E90" s="89" t="s">
        <v>107</v>
      </c>
      <c r="F90" s="154"/>
      <c r="G90" s="52">
        <v>36845</v>
      </c>
      <c r="H90" s="46">
        <v>38671</v>
      </c>
      <c r="I90" s="3"/>
      <c r="J90" s="34" t="s">
        <v>807</v>
      </c>
      <c r="K90" s="40">
        <v>28062.797</v>
      </c>
      <c r="L90" s="21"/>
      <c r="M90" s="47" t="s">
        <v>98</v>
      </c>
      <c r="N90" s="27"/>
      <c r="O90" s="40">
        <f t="shared" si="2"/>
        <v>28062.797</v>
      </c>
      <c r="P90" s="21"/>
    </row>
    <row r="91" spans="3:16" ht="15.75" customHeight="1">
      <c r="C91" s="88" t="s">
        <v>903</v>
      </c>
      <c r="D91" s="48" t="s">
        <v>819</v>
      </c>
      <c r="E91" s="141" t="s">
        <v>60</v>
      </c>
      <c r="F91" s="154"/>
      <c r="G91" s="52">
        <v>37956</v>
      </c>
      <c r="H91" s="46">
        <v>38686</v>
      </c>
      <c r="I91" s="3"/>
      <c r="J91" s="34" t="s">
        <v>810</v>
      </c>
      <c r="K91" s="40">
        <v>32203.806</v>
      </c>
      <c r="L91" s="21"/>
      <c r="M91" s="47" t="s">
        <v>98</v>
      </c>
      <c r="N91" s="27"/>
      <c r="O91" s="40">
        <f t="shared" si="2"/>
        <v>32203.806</v>
      </c>
      <c r="P91" s="21"/>
    </row>
    <row r="92" spans="3:16" ht="15.75" customHeight="1">
      <c r="C92" s="43" t="s">
        <v>905</v>
      </c>
      <c r="D92" s="48" t="s">
        <v>822</v>
      </c>
      <c r="E92" s="141" t="s">
        <v>60</v>
      </c>
      <c r="F92" s="154"/>
      <c r="G92" s="52">
        <v>37986</v>
      </c>
      <c r="H92" s="46">
        <v>38717</v>
      </c>
      <c r="I92" s="3"/>
      <c r="J92" s="34" t="s">
        <v>106</v>
      </c>
      <c r="K92" s="40">
        <v>33996.27</v>
      </c>
      <c r="L92" s="21"/>
      <c r="M92" s="47" t="s">
        <v>98</v>
      </c>
      <c r="N92" s="27"/>
      <c r="O92" s="40">
        <f t="shared" si="2"/>
        <v>33996.27</v>
      </c>
      <c r="P92" s="21"/>
    </row>
    <row r="93" spans="3:16" ht="15.75" customHeight="1">
      <c r="C93" s="43" t="s">
        <v>657</v>
      </c>
      <c r="D93" s="48" t="s">
        <v>793</v>
      </c>
      <c r="E93" s="141" t="s">
        <v>60</v>
      </c>
      <c r="F93" s="154"/>
      <c r="G93" s="52">
        <v>38019</v>
      </c>
      <c r="H93" s="46">
        <v>38748</v>
      </c>
      <c r="I93" s="3"/>
      <c r="J93" s="34" t="s">
        <v>868</v>
      </c>
      <c r="K93" s="40">
        <v>32533.188</v>
      </c>
      <c r="L93" s="21"/>
      <c r="M93" s="47" t="s">
        <v>98</v>
      </c>
      <c r="N93" s="27"/>
      <c r="O93" s="40">
        <f t="shared" si="2"/>
        <v>32533.188</v>
      </c>
      <c r="P93" s="21"/>
    </row>
    <row r="94" spans="2:16" ht="15.75" customHeight="1">
      <c r="B94" s="73"/>
      <c r="C94" s="178"/>
      <c r="D94" s="419"/>
      <c r="E94" s="419"/>
      <c r="F94" s="420"/>
      <c r="G94" s="421"/>
      <c r="H94" s="422"/>
      <c r="I94" s="423"/>
      <c r="J94" s="419"/>
      <c r="K94" s="424"/>
      <c r="L94" s="424"/>
      <c r="M94" s="425"/>
      <c r="N94" s="425"/>
      <c r="O94" s="424"/>
      <c r="P94" s="424"/>
    </row>
    <row r="95" spans="1:16" ht="15.75">
      <c r="A95" s="94"/>
      <c r="B95" s="2" t="s">
        <v>993</v>
      </c>
      <c r="C95" s="2"/>
      <c r="D95" s="3"/>
      <c r="E95" s="3"/>
      <c r="F95" s="3"/>
      <c r="G95" s="3"/>
      <c r="H95" s="3"/>
      <c r="I95" s="29"/>
      <c r="J95" s="3"/>
      <c r="K95" s="3"/>
      <c r="L95" s="3"/>
      <c r="M95" s="3"/>
      <c r="N95" s="3"/>
      <c r="O95" s="3"/>
      <c r="P95" s="95">
        <v>3</v>
      </c>
    </row>
    <row r="96" spans="1:16" ht="10.5" customHeight="1" thickBot="1">
      <c r="A96" s="2"/>
      <c r="B96" s="2"/>
      <c r="C96" s="2"/>
      <c r="D96" s="3"/>
      <c r="E96" s="3"/>
      <c r="F96" s="3"/>
      <c r="G96" s="3"/>
      <c r="H96" s="3"/>
      <c r="I96" s="29"/>
      <c r="K96" s="3"/>
      <c r="L96" s="3"/>
      <c r="M96" s="3"/>
      <c r="N96" s="3"/>
      <c r="O96" s="3"/>
      <c r="P96" s="2"/>
    </row>
    <row r="97" spans="1:16" ht="15.75" customHeight="1" thickTop="1">
      <c r="A97" s="32"/>
      <c r="B97" s="32"/>
      <c r="C97" s="32"/>
      <c r="D97" s="32"/>
      <c r="E97" s="32"/>
      <c r="F97" s="32"/>
      <c r="G97" s="26"/>
      <c r="H97" s="26"/>
      <c r="I97" s="33"/>
      <c r="J97" s="67"/>
      <c r="K97" s="26"/>
      <c r="L97" s="32"/>
      <c r="M97" s="32"/>
      <c r="N97" s="32"/>
      <c r="O97" s="32"/>
      <c r="P97" s="32"/>
    </row>
    <row r="98" spans="3:16" ht="15.75" customHeight="1">
      <c r="C98" s="48"/>
      <c r="G98" s="16" t="s">
        <v>334</v>
      </c>
      <c r="H98" s="16" t="s">
        <v>335</v>
      </c>
      <c r="I98" s="29"/>
      <c r="J98" s="34" t="s">
        <v>336</v>
      </c>
      <c r="K98" s="16" t="s">
        <v>337</v>
      </c>
      <c r="L98" s="3"/>
      <c r="M98" s="3"/>
      <c r="N98" s="3"/>
      <c r="O98" s="3"/>
      <c r="P98" s="3"/>
    </row>
    <row r="99" spans="1:11" ht="15.75" customHeight="1">
      <c r="A99" s="3" t="s">
        <v>338</v>
      </c>
      <c r="B99" s="3"/>
      <c r="C99" s="3"/>
      <c r="D99" s="3"/>
      <c r="E99" s="3"/>
      <c r="F99" s="3"/>
      <c r="G99" s="16" t="s">
        <v>339</v>
      </c>
      <c r="H99" s="16" t="s">
        <v>340</v>
      </c>
      <c r="I99" s="29"/>
      <c r="J99" s="34" t="s">
        <v>341</v>
      </c>
      <c r="K99" s="14"/>
    </row>
    <row r="100" spans="1:16" ht="16.5" customHeight="1">
      <c r="A100" s="15"/>
      <c r="B100" s="15"/>
      <c r="C100" s="15"/>
      <c r="D100" s="15"/>
      <c r="E100" s="15"/>
      <c r="F100" s="15"/>
      <c r="G100" s="35"/>
      <c r="H100" s="35"/>
      <c r="I100" s="36"/>
      <c r="J100" s="61"/>
      <c r="K100" s="37" t="s">
        <v>342</v>
      </c>
      <c r="L100" s="38"/>
      <c r="M100" s="37" t="s">
        <v>93</v>
      </c>
      <c r="N100" s="38"/>
      <c r="O100" s="37" t="s">
        <v>1007</v>
      </c>
      <c r="P100" s="38"/>
    </row>
    <row r="101" spans="7:15" ht="15.75" customHeight="1">
      <c r="G101" s="14"/>
      <c r="H101" s="14"/>
      <c r="I101" s="31"/>
      <c r="J101" s="34"/>
      <c r="K101" s="14"/>
      <c r="M101" s="14"/>
      <c r="O101" s="14"/>
    </row>
    <row r="102" spans="1:16" ht="18" customHeight="1">
      <c r="A102" s="60" t="s">
        <v>259</v>
      </c>
      <c r="B102" s="60"/>
      <c r="G102" s="18"/>
      <c r="H102" s="18"/>
      <c r="I102" s="39"/>
      <c r="J102" s="68"/>
      <c r="K102" s="14"/>
      <c r="M102" s="14"/>
      <c r="O102" s="40"/>
      <c r="P102" s="21"/>
    </row>
    <row r="103" spans="2:16" ht="17.25" customHeight="1">
      <c r="B103" s="9" t="s">
        <v>96</v>
      </c>
      <c r="D103" s="3" t="s">
        <v>103</v>
      </c>
      <c r="E103" s="3" t="s">
        <v>104</v>
      </c>
      <c r="F103" s="3"/>
      <c r="G103" s="70"/>
      <c r="I103" s="42"/>
      <c r="J103" s="68"/>
      <c r="K103" s="14"/>
      <c r="M103" s="14"/>
      <c r="O103" s="40"/>
      <c r="P103" s="21"/>
    </row>
    <row r="104" spans="3:16" ht="15.75" customHeight="1">
      <c r="C104" s="88" t="s">
        <v>902</v>
      </c>
      <c r="D104" s="48" t="s">
        <v>114</v>
      </c>
      <c r="E104" s="48" t="s">
        <v>824</v>
      </c>
      <c r="F104" s="154"/>
      <c r="G104" s="52">
        <v>35110</v>
      </c>
      <c r="H104" s="46">
        <v>38763</v>
      </c>
      <c r="I104" s="3"/>
      <c r="J104" s="34" t="s">
        <v>792</v>
      </c>
      <c r="K104" s="40">
        <v>15513.587</v>
      </c>
      <c r="L104" s="21"/>
      <c r="M104" s="47" t="s">
        <v>98</v>
      </c>
      <c r="N104" s="27"/>
      <c r="O104" s="40">
        <f>K104-M104</f>
        <v>15513.587</v>
      </c>
      <c r="P104" s="21"/>
    </row>
    <row r="105" spans="3:16" ht="15.75" customHeight="1">
      <c r="C105" s="43" t="s">
        <v>298</v>
      </c>
      <c r="D105" s="48" t="s">
        <v>796</v>
      </c>
      <c r="E105" s="141" t="s">
        <v>1109</v>
      </c>
      <c r="F105" s="154"/>
      <c r="G105" s="52">
        <v>38047</v>
      </c>
      <c r="H105" s="46">
        <v>38776</v>
      </c>
      <c r="I105" s="3"/>
      <c r="J105" s="34" t="s">
        <v>297</v>
      </c>
      <c r="K105" s="40">
        <v>34001.95</v>
      </c>
      <c r="L105" s="21"/>
      <c r="M105" s="47" t="s">
        <v>98</v>
      </c>
      <c r="N105" s="27"/>
      <c r="O105" s="40">
        <f aca="true" t="shared" si="3" ref="O105:O110">K105+M105</f>
        <v>34001.95</v>
      </c>
      <c r="P105" s="21"/>
    </row>
    <row r="106" spans="3:16" ht="15.75" customHeight="1">
      <c r="C106" s="43" t="s">
        <v>301</v>
      </c>
      <c r="D106" s="48" t="s">
        <v>802</v>
      </c>
      <c r="E106" s="141" t="s">
        <v>879</v>
      </c>
      <c r="F106" s="154"/>
      <c r="G106" s="52">
        <v>38077</v>
      </c>
      <c r="H106" s="46">
        <v>38807</v>
      </c>
      <c r="I106" s="3"/>
      <c r="J106" s="34" t="s">
        <v>739</v>
      </c>
      <c r="K106" s="40">
        <v>34339.493</v>
      </c>
      <c r="L106" s="21"/>
      <c r="M106" s="47" t="s">
        <v>98</v>
      </c>
      <c r="N106" s="27"/>
      <c r="O106" s="40">
        <f t="shared" si="3"/>
        <v>34339.493</v>
      </c>
      <c r="P106" s="21"/>
    </row>
    <row r="107" spans="3:16" ht="15.75" customHeight="1">
      <c r="C107" s="43" t="s">
        <v>33</v>
      </c>
      <c r="D107" s="48" t="s">
        <v>805</v>
      </c>
      <c r="E107" s="48" t="s">
        <v>815</v>
      </c>
      <c r="F107" s="154"/>
      <c r="G107" s="52">
        <v>35200</v>
      </c>
      <c r="H107" s="46">
        <v>38852</v>
      </c>
      <c r="I107" s="3"/>
      <c r="J107" s="34" t="s">
        <v>746</v>
      </c>
      <c r="K107" s="40">
        <v>16015.475</v>
      </c>
      <c r="L107" s="21"/>
      <c r="M107" s="47" t="s">
        <v>98</v>
      </c>
      <c r="N107" s="27"/>
      <c r="O107" s="40">
        <f t="shared" si="3"/>
        <v>16015.475</v>
      </c>
      <c r="P107" s="21"/>
    </row>
    <row r="108" spans="3:16" ht="15.75" customHeight="1">
      <c r="C108" s="43" t="s">
        <v>877</v>
      </c>
      <c r="D108" s="48" t="s">
        <v>108</v>
      </c>
      <c r="E108" s="89" t="s">
        <v>660</v>
      </c>
      <c r="F108" s="154"/>
      <c r="G108" s="52">
        <v>37026</v>
      </c>
      <c r="H108" s="46">
        <v>38852</v>
      </c>
      <c r="I108" s="3"/>
      <c r="J108" s="34" t="s">
        <v>746</v>
      </c>
      <c r="K108" s="40">
        <v>27797.852</v>
      </c>
      <c r="L108" s="21"/>
      <c r="M108" s="47" t="s">
        <v>98</v>
      </c>
      <c r="N108" s="27"/>
      <c r="O108" s="40">
        <f t="shared" si="3"/>
        <v>27797.852</v>
      </c>
      <c r="P108" s="21"/>
    </row>
    <row r="109" spans="3:16" ht="15.75" customHeight="1">
      <c r="C109" s="43" t="s">
        <v>508</v>
      </c>
      <c r="D109" s="48" t="s">
        <v>813</v>
      </c>
      <c r="E109" s="89">
        <v>2</v>
      </c>
      <c r="F109" s="154"/>
      <c r="G109" s="52">
        <v>37756</v>
      </c>
      <c r="H109" s="46">
        <v>38852</v>
      </c>
      <c r="I109" s="3"/>
      <c r="J109" s="34" t="s">
        <v>746</v>
      </c>
      <c r="K109" s="40">
        <v>22391.759</v>
      </c>
      <c r="L109" s="21"/>
      <c r="M109" s="47" t="s">
        <v>98</v>
      </c>
      <c r="N109" s="27"/>
      <c r="O109" s="40">
        <f t="shared" si="3"/>
        <v>22391.759</v>
      </c>
      <c r="P109" s="21"/>
    </row>
    <row r="110" spans="3:16" ht="15.75" customHeight="1">
      <c r="C110" s="43" t="s">
        <v>509</v>
      </c>
      <c r="D110" s="48" t="s">
        <v>816</v>
      </c>
      <c r="E110" s="48" t="s">
        <v>800</v>
      </c>
      <c r="F110" s="154"/>
      <c r="G110" s="52">
        <v>35261</v>
      </c>
      <c r="H110" s="46">
        <v>38913</v>
      </c>
      <c r="I110" s="3"/>
      <c r="J110" s="34" t="s">
        <v>110</v>
      </c>
      <c r="K110" s="40">
        <v>22740.446</v>
      </c>
      <c r="L110" s="21"/>
      <c r="M110" s="47" t="s">
        <v>98</v>
      </c>
      <c r="N110" s="27"/>
      <c r="O110" s="40">
        <f t="shared" si="3"/>
        <v>22740.446</v>
      </c>
      <c r="P110" s="21"/>
    </row>
    <row r="111" spans="3:16" ht="15.75" customHeight="1">
      <c r="C111" s="88" t="s">
        <v>396</v>
      </c>
      <c r="D111" s="48" t="s">
        <v>821</v>
      </c>
      <c r="E111" s="89" t="s">
        <v>397</v>
      </c>
      <c r="F111" s="154"/>
      <c r="G111" s="52">
        <v>37848</v>
      </c>
      <c r="H111" s="46">
        <v>38944</v>
      </c>
      <c r="I111" s="3"/>
      <c r="J111" s="34" t="s">
        <v>792</v>
      </c>
      <c r="K111" s="40">
        <v>27909.346</v>
      </c>
      <c r="L111" s="21"/>
      <c r="M111" s="47" t="s">
        <v>98</v>
      </c>
      <c r="N111" s="27"/>
      <c r="O111" s="40">
        <f>K111</f>
        <v>27909.346</v>
      </c>
      <c r="P111" s="21"/>
    </row>
    <row r="112" spans="3:16" ht="15.75" customHeight="1">
      <c r="C112" s="43" t="s">
        <v>465</v>
      </c>
      <c r="D112" s="48" t="s">
        <v>825</v>
      </c>
      <c r="E112" s="48" t="s">
        <v>803</v>
      </c>
      <c r="F112" s="154"/>
      <c r="G112" s="52">
        <v>35353</v>
      </c>
      <c r="H112" s="90">
        <v>39005</v>
      </c>
      <c r="I112" s="3"/>
      <c r="J112" s="34" t="s">
        <v>801</v>
      </c>
      <c r="K112" s="40">
        <v>22459.675</v>
      </c>
      <c r="L112" s="21"/>
      <c r="M112" s="47" t="s">
        <v>98</v>
      </c>
      <c r="N112" s="27"/>
      <c r="O112" s="40">
        <f aca="true" t="shared" si="4" ref="O112:O125">K112+M112</f>
        <v>22459.675</v>
      </c>
      <c r="P112" s="21"/>
    </row>
    <row r="113" spans="3:16" ht="15.75" customHeight="1">
      <c r="C113" s="43" t="s">
        <v>445</v>
      </c>
      <c r="D113" s="48" t="s">
        <v>799</v>
      </c>
      <c r="E113" s="141" t="s">
        <v>618</v>
      </c>
      <c r="F113" s="154"/>
      <c r="G113" s="52">
        <v>37210</v>
      </c>
      <c r="H113" s="90">
        <v>39036</v>
      </c>
      <c r="I113" s="3"/>
      <c r="J113" s="34" t="s">
        <v>807</v>
      </c>
      <c r="K113" s="40">
        <v>35380.129</v>
      </c>
      <c r="L113" s="21"/>
      <c r="M113" s="47" t="s">
        <v>98</v>
      </c>
      <c r="N113" s="27"/>
      <c r="O113" s="40">
        <f t="shared" si="4"/>
        <v>35380.129</v>
      </c>
      <c r="P113" s="21"/>
    </row>
    <row r="114" spans="3:16" ht="15.75" customHeight="1">
      <c r="C114" s="88" t="s">
        <v>384</v>
      </c>
      <c r="D114" s="48" t="s">
        <v>111</v>
      </c>
      <c r="E114" s="141" t="s">
        <v>511</v>
      </c>
      <c r="F114" s="154"/>
      <c r="G114" s="52">
        <v>37942</v>
      </c>
      <c r="H114" s="90">
        <v>39036</v>
      </c>
      <c r="I114" s="3"/>
      <c r="J114" s="34" t="s">
        <v>807</v>
      </c>
      <c r="K114" s="40">
        <v>26535.905</v>
      </c>
      <c r="L114" s="21"/>
      <c r="M114" s="47" t="s">
        <v>98</v>
      </c>
      <c r="N114" s="27"/>
      <c r="O114" s="40">
        <f t="shared" si="4"/>
        <v>26535.905</v>
      </c>
      <c r="P114" s="21"/>
    </row>
    <row r="115" spans="3:16" ht="15.75" customHeight="1">
      <c r="C115" s="43" t="s">
        <v>385</v>
      </c>
      <c r="D115" s="48" t="s">
        <v>805</v>
      </c>
      <c r="E115" s="48" t="s">
        <v>798</v>
      </c>
      <c r="F115" s="154"/>
      <c r="G115" s="52">
        <v>35479</v>
      </c>
      <c r="H115" s="90">
        <v>39128</v>
      </c>
      <c r="I115" s="3"/>
      <c r="J115" s="34" t="s">
        <v>745</v>
      </c>
      <c r="K115" s="40">
        <v>13103.678</v>
      </c>
      <c r="L115" s="21"/>
      <c r="M115" s="47" t="s">
        <v>98</v>
      </c>
      <c r="N115" s="27"/>
      <c r="O115" s="40">
        <f t="shared" si="4"/>
        <v>13103.678</v>
      </c>
      <c r="P115" s="21"/>
    </row>
    <row r="116" spans="3:16" ht="15.75" customHeight="1">
      <c r="C116" s="88" t="s">
        <v>650</v>
      </c>
      <c r="D116" s="48" t="s">
        <v>821</v>
      </c>
      <c r="E116" s="141" t="s">
        <v>1186</v>
      </c>
      <c r="F116" s="154"/>
      <c r="G116" s="52">
        <v>38034</v>
      </c>
      <c r="H116" s="46">
        <v>39128</v>
      </c>
      <c r="I116" s="3"/>
      <c r="J116" s="34" t="s">
        <v>745</v>
      </c>
      <c r="K116" s="40">
        <v>25469.287</v>
      </c>
      <c r="L116" s="21"/>
      <c r="M116" s="47" t="s">
        <v>98</v>
      </c>
      <c r="N116" s="27"/>
      <c r="O116" s="40">
        <f>K116+M116</f>
        <v>25469.287</v>
      </c>
      <c r="P116" s="21"/>
    </row>
    <row r="117" spans="3:16" ht="15.75" customHeight="1">
      <c r="C117" s="43" t="s">
        <v>137</v>
      </c>
      <c r="D117" s="48" t="s">
        <v>816</v>
      </c>
      <c r="E117" s="48" t="s">
        <v>833</v>
      </c>
      <c r="F117" s="154"/>
      <c r="G117" s="52">
        <v>35565</v>
      </c>
      <c r="H117" s="90">
        <v>39217</v>
      </c>
      <c r="I117" s="3"/>
      <c r="J117" s="34" t="s">
        <v>746</v>
      </c>
      <c r="K117" s="40">
        <v>13958.186</v>
      </c>
      <c r="L117" s="21"/>
      <c r="M117" s="47" t="s">
        <v>98</v>
      </c>
      <c r="N117" s="27"/>
      <c r="O117" s="40">
        <f t="shared" si="4"/>
        <v>13958.186</v>
      </c>
      <c r="P117" s="21"/>
    </row>
    <row r="118" spans="3:16" ht="15.75" customHeight="1">
      <c r="C118" s="43" t="s">
        <v>498</v>
      </c>
      <c r="D118" s="48" t="s">
        <v>108</v>
      </c>
      <c r="E118" s="89" t="s">
        <v>501</v>
      </c>
      <c r="F118" s="154"/>
      <c r="G118" s="52">
        <v>37391</v>
      </c>
      <c r="H118" s="90">
        <v>39217</v>
      </c>
      <c r="I118" s="3"/>
      <c r="J118" s="34" t="s">
        <v>746</v>
      </c>
      <c r="K118" s="40">
        <v>24351.431</v>
      </c>
      <c r="L118" s="21"/>
      <c r="M118" s="47" t="s">
        <v>98</v>
      </c>
      <c r="N118" s="27"/>
      <c r="O118" s="40">
        <f t="shared" si="4"/>
        <v>24351.431</v>
      </c>
      <c r="P118" s="21"/>
    </row>
    <row r="119" spans="3:16" ht="15.75" customHeight="1">
      <c r="C119" s="88" t="s">
        <v>499</v>
      </c>
      <c r="D119" s="48" t="s">
        <v>825</v>
      </c>
      <c r="E119" s="48" t="s">
        <v>830</v>
      </c>
      <c r="F119" s="154"/>
      <c r="G119" s="52">
        <v>35657</v>
      </c>
      <c r="H119" s="90">
        <v>39309</v>
      </c>
      <c r="I119" s="3"/>
      <c r="J119" s="34" t="s">
        <v>792</v>
      </c>
      <c r="K119" s="40">
        <v>25636.803</v>
      </c>
      <c r="L119" s="21"/>
      <c r="M119" s="47" t="s">
        <v>98</v>
      </c>
      <c r="N119" s="27"/>
      <c r="O119" s="40">
        <f t="shared" si="4"/>
        <v>25636.803</v>
      </c>
      <c r="P119" s="21"/>
    </row>
    <row r="120" spans="3:16" ht="15.75" customHeight="1">
      <c r="C120" s="43" t="s">
        <v>688</v>
      </c>
      <c r="D120" s="48" t="s">
        <v>799</v>
      </c>
      <c r="E120" s="141" t="s">
        <v>1170</v>
      </c>
      <c r="F120" s="154"/>
      <c r="G120" s="52">
        <v>37483</v>
      </c>
      <c r="H120" s="90">
        <v>39309</v>
      </c>
      <c r="I120" s="3"/>
      <c r="J120" s="34" t="s">
        <v>792</v>
      </c>
      <c r="K120" s="40">
        <v>25410.844</v>
      </c>
      <c r="L120" s="21"/>
      <c r="M120" s="47" t="s">
        <v>98</v>
      </c>
      <c r="N120" s="27"/>
      <c r="O120" s="40">
        <f t="shared" si="4"/>
        <v>25410.844</v>
      </c>
      <c r="P120" s="21"/>
    </row>
    <row r="121" spans="3:16" ht="15.75" customHeight="1">
      <c r="C121" s="88" t="s">
        <v>123</v>
      </c>
      <c r="D121" s="48" t="s">
        <v>813</v>
      </c>
      <c r="E121" s="141" t="s">
        <v>765</v>
      </c>
      <c r="F121" s="154"/>
      <c r="G121" s="52">
        <v>37575</v>
      </c>
      <c r="H121" s="90">
        <v>39401</v>
      </c>
      <c r="I121" s="3"/>
      <c r="J121" s="34" t="s">
        <v>807</v>
      </c>
      <c r="K121" s="40">
        <v>23311.319</v>
      </c>
      <c r="L121" s="21"/>
      <c r="M121" s="47" t="s">
        <v>98</v>
      </c>
      <c r="N121" s="27"/>
      <c r="O121" s="40">
        <f t="shared" si="4"/>
        <v>23311.319</v>
      </c>
      <c r="P121" s="21"/>
    </row>
    <row r="122" spans="3:16" ht="15.75" customHeight="1">
      <c r="C122" s="88" t="s">
        <v>590</v>
      </c>
      <c r="D122" s="48" t="s">
        <v>805</v>
      </c>
      <c r="E122" s="89" t="s">
        <v>794</v>
      </c>
      <c r="F122" s="154"/>
      <c r="G122" s="52">
        <v>35843</v>
      </c>
      <c r="H122" s="90">
        <v>39493</v>
      </c>
      <c r="I122" s="3"/>
      <c r="J122" s="34" t="s">
        <v>745</v>
      </c>
      <c r="K122" s="40">
        <v>13583.412</v>
      </c>
      <c r="L122" s="21"/>
      <c r="M122" s="47" t="s">
        <v>98</v>
      </c>
      <c r="N122" s="27"/>
      <c r="O122" s="40">
        <f t="shared" si="4"/>
        <v>13583.412</v>
      </c>
      <c r="P122" s="21"/>
    </row>
    <row r="123" spans="3:16" ht="15.75" customHeight="1">
      <c r="C123" s="43" t="s">
        <v>127</v>
      </c>
      <c r="D123" s="48" t="s">
        <v>108</v>
      </c>
      <c r="E123" s="89">
        <v>3</v>
      </c>
      <c r="F123" s="154"/>
      <c r="G123" s="52">
        <v>37670</v>
      </c>
      <c r="H123" s="90">
        <v>39493</v>
      </c>
      <c r="I123" s="3"/>
      <c r="J123" s="34" t="s">
        <v>745</v>
      </c>
      <c r="K123" s="40">
        <v>27489.26</v>
      </c>
      <c r="L123" s="21"/>
      <c r="M123" s="47" t="s">
        <v>98</v>
      </c>
      <c r="N123" s="27"/>
      <c r="O123" s="40">
        <f t="shared" si="4"/>
        <v>27489.26</v>
      </c>
      <c r="P123" s="21"/>
    </row>
    <row r="124" spans="3:16" ht="15.75" customHeight="1">
      <c r="C124" s="43" t="s">
        <v>593</v>
      </c>
      <c r="D124" s="48" t="s">
        <v>816</v>
      </c>
      <c r="E124" s="89" t="s">
        <v>824</v>
      </c>
      <c r="F124" s="154"/>
      <c r="G124" s="52">
        <v>35930</v>
      </c>
      <c r="H124" s="90">
        <v>39583</v>
      </c>
      <c r="I124" s="3"/>
      <c r="J124" s="34" t="s">
        <v>746</v>
      </c>
      <c r="K124" s="40">
        <v>27190.961</v>
      </c>
      <c r="L124" s="21"/>
      <c r="M124" s="47" t="s">
        <v>98</v>
      </c>
      <c r="N124" s="27"/>
      <c r="O124" s="40">
        <f t="shared" si="4"/>
        <v>27190.961</v>
      </c>
      <c r="P124" s="21"/>
    </row>
    <row r="125" spans="3:16" ht="15.75" customHeight="1">
      <c r="C125" s="43" t="s">
        <v>510</v>
      </c>
      <c r="D125" s="48" t="s">
        <v>799</v>
      </c>
      <c r="E125" s="141" t="s">
        <v>511</v>
      </c>
      <c r="F125" s="154"/>
      <c r="G125" s="52">
        <v>37756</v>
      </c>
      <c r="H125" s="90">
        <v>39583</v>
      </c>
      <c r="I125" s="3"/>
      <c r="J125" s="34" t="s">
        <v>746</v>
      </c>
      <c r="K125" s="40">
        <v>33338.446</v>
      </c>
      <c r="L125" s="21"/>
      <c r="M125" s="47" t="s">
        <v>98</v>
      </c>
      <c r="N125" s="27"/>
      <c r="O125" s="40">
        <f t="shared" si="4"/>
        <v>33338.446</v>
      </c>
      <c r="P125" s="21"/>
    </row>
    <row r="126" spans="3:16" ht="15.75" customHeight="1">
      <c r="C126" s="43" t="s">
        <v>398</v>
      </c>
      <c r="D126" s="48" t="s">
        <v>813</v>
      </c>
      <c r="E126" s="141" t="s">
        <v>1170</v>
      </c>
      <c r="F126" s="154"/>
      <c r="G126" s="52">
        <v>37848</v>
      </c>
      <c r="H126" s="90">
        <v>39675</v>
      </c>
      <c r="I126" s="3"/>
      <c r="J126" s="34" t="s">
        <v>792</v>
      </c>
      <c r="K126" s="40">
        <v>21357.474</v>
      </c>
      <c r="L126" s="21"/>
      <c r="M126" s="47" t="s">
        <v>98</v>
      </c>
      <c r="N126" s="27"/>
      <c r="O126" s="40">
        <f>K126</f>
        <v>21357.474</v>
      </c>
      <c r="P126" s="21"/>
    </row>
    <row r="127" spans="3:16" ht="15.75" customHeight="1">
      <c r="C127" s="43" t="s">
        <v>779</v>
      </c>
      <c r="D127" s="48" t="s">
        <v>821</v>
      </c>
      <c r="E127" s="141" t="s">
        <v>780</v>
      </c>
      <c r="F127" s="154"/>
      <c r="G127" s="52">
        <v>37879</v>
      </c>
      <c r="H127" s="90">
        <v>39706</v>
      </c>
      <c r="I127" s="3"/>
      <c r="J127" s="34" t="s">
        <v>781</v>
      </c>
      <c r="K127" s="40">
        <v>16002.177</v>
      </c>
      <c r="L127" s="21"/>
      <c r="M127" s="47" t="s">
        <v>98</v>
      </c>
      <c r="N127" s="27"/>
      <c r="O127" s="40">
        <f>K127</f>
        <v>16002.177</v>
      </c>
      <c r="P127" s="21"/>
    </row>
    <row r="128" spans="3:16" ht="15.75" customHeight="1">
      <c r="C128" s="43" t="s">
        <v>672</v>
      </c>
      <c r="D128" s="48" t="s">
        <v>111</v>
      </c>
      <c r="E128" s="141" t="s">
        <v>780</v>
      </c>
      <c r="F128" s="154"/>
      <c r="G128" s="52">
        <v>37909</v>
      </c>
      <c r="H128" s="46">
        <v>39736</v>
      </c>
      <c r="I128" s="3"/>
      <c r="J128" s="34" t="s">
        <v>801</v>
      </c>
      <c r="K128" s="40">
        <v>15995.702</v>
      </c>
      <c r="L128" s="21"/>
      <c r="M128" s="47" t="s">
        <v>98</v>
      </c>
      <c r="N128" s="27"/>
      <c r="O128" s="40">
        <f>K128</f>
        <v>15995.702</v>
      </c>
      <c r="P128" s="21"/>
    </row>
    <row r="129" spans="3:16" ht="15.75" customHeight="1">
      <c r="C129" s="88" t="s">
        <v>512</v>
      </c>
      <c r="D129" s="48" t="s">
        <v>825</v>
      </c>
      <c r="E129" s="89" t="s">
        <v>836</v>
      </c>
      <c r="F129" s="154"/>
      <c r="G129" s="52">
        <v>36115</v>
      </c>
      <c r="H129" s="90">
        <v>39767</v>
      </c>
      <c r="I129" s="3"/>
      <c r="J129" s="34" t="s">
        <v>807</v>
      </c>
      <c r="K129" s="40">
        <v>25083.125</v>
      </c>
      <c r="L129" s="21"/>
      <c r="M129" s="47" t="s">
        <v>98</v>
      </c>
      <c r="N129" s="27"/>
      <c r="O129" s="40">
        <f aca="true" t="shared" si="5" ref="O129:O134">K129+M129</f>
        <v>25083.125</v>
      </c>
      <c r="P129" s="21"/>
    </row>
    <row r="130" spans="3:16" ht="15.75" customHeight="1">
      <c r="C130" s="43" t="s">
        <v>386</v>
      </c>
      <c r="D130" s="48" t="s">
        <v>793</v>
      </c>
      <c r="E130" s="141" t="s">
        <v>613</v>
      </c>
      <c r="F130" s="154"/>
      <c r="G130" s="52">
        <v>37942</v>
      </c>
      <c r="H130" s="90">
        <v>39767</v>
      </c>
      <c r="I130" s="3"/>
      <c r="J130" s="34" t="s">
        <v>807</v>
      </c>
      <c r="K130" s="40">
        <v>18181.033</v>
      </c>
      <c r="L130" s="21"/>
      <c r="M130" s="47" t="s">
        <v>98</v>
      </c>
      <c r="N130" s="27"/>
      <c r="O130" s="40">
        <f t="shared" si="5"/>
        <v>18181.033</v>
      </c>
      <c r="P130" s="21"/>
    </row>
    <row r="131" spans="3:16" ht="15.75" customHeight="1">
      <c r="C131" s="43" t="s">
        <v>907</v>
      </c>
      <c r="D131" s="48" t="s">
        <v>796</v>
      </c>
      <c r="E131" s="141" t="s">
        <v>613</v>
      </c>
      <c r="F131" s="154"/>
      <c r="G131" s="52">
        <v>37970</v>
      </c>
      <c r="H131" s="90">
        <v>39797</v>
      </c>
      <c r="I131" s="3"/>
      <c r="J131" s="34" t="s">
        <v>908</v>
      </c>
      <c r="K131" s="40">
        <v>16000.028</v>
      </c>
      <c r="L131" s="21"/>
      <c r="M131" s="47" t="s">
        <v>98</v>
      </c>
      <c r="N131" s="27"/>
      <c r="O131" s="40">
        <f t="shared" si="5"/>
        <v>16000.028</v>
      </c>
      <c r="P131" s="21"/>
    </row>
    <row r="132" spans="3:16" ht="15.75" customHeight="1">
      <c r="C132" s="43" t="s">
        <v>13</v>
      </c>
      <c r="D132" s="48" t="s">
        <v>825</v>
      </c>
      <c r="E132" s="141" t="s">
        <v>1170</v>
      </c>
      <c r="F132" s="154"/>
      <c r="G132" s="52">
        <v>38001</v>
      </c>
      <c r="H132" s="90">
        <v>39828</v>
      </c>
      <c r="I132" s="3"/>
      <c r="J132" s="34" t="s">
        <v>507</v>
      </c>
      <c r="K132" s="40">
        <v>16002.546</v>
      </c>
      <c r="L132" s="21"/>
      <c r="M132" s="47" t="s">
        <v>98</v>
      </c>
      <c r="N132" s="27"/>
      <c r="O132" s="40">
        <f t="shared" si="5"/>
        <v>16002.546</v>
      </c>
      <c r="P132" s="21"/>
    </row>
    <row r="133" spans="3:16" ht="15.75" customHeight="1">
      <c r="C133" s="43" t="s">
        <v>652</v>
      </c>
      <c r="D133" s="48" t="s">
        <v>108</v>
      </c>
      <c r="E133" s="141" t="s">
        <v>765</v>
      </c>
      <c r="F133" s="154"/>
      <c r="G133" s="52">
        <v>38034</v>
      </c>
      <c r="H133" s="90">
        <v>39859</v>
      </c>
      <c r="I133" s="3"/>
      <c r="J133" s="34" t="s">
        <v>745</v>
      </c>
      <c r="K133" s="40">
        <v>17433.763</v>
      </c>
      <c r="L133" s="21"/>
      <c r="M133" s="47" t="s">
        <v>98</v>
      </c>
      <c r="N133" s="27"/>
      <c r="O133" s="40">
        <f t="shared" si="5"/>
        <v>17433.763</v>
      </c>
      <c r="P133" s="21"/>
    </row>
    <row r="134" spans="3:16" ht="15.75" customHeight="1">
      <c r="C134" s="43" t="s">
        <v>294</v>
      </c>
      <c r="D134" s="48" t="s">
        <v>799</v>
      </c>
      <c r="E134" s="141" t="s">
        <v>511</v>
      </c>
      <c r="F134" s="154"/>
      <c r="G134" s="52">
        <v>38061</v>
      </c>
      <c r="H134" s="90">
        <v>39887</v>
      </c>
      <c r="I134" s="3"/>
      <c r="J134" s="34" t="s">
        <v>295</v>
      </c>
      <c r="K134" s="40">
        <v>16001.063</v>
      </c>
      <c r="L134" s="21"/>
      <c r="M134" s="47" t="s">
        <v>98</v>
      </c>
      <c r="N134" s="27"/>
      <c r="O134" s="40">
        <f t="shared" si="5"/>
        <v>16001.063</v>
      </c>
      <c r="P134" s="21"/>
    </row>
    <row r="135" spans="3:16" ht="15.75" customHeight="1">
      <c r="C135" s="88" t="s">
        <v>388</v>
      </c>
      <c r="D135" s="48" t="s">
        <v>805</v>
      </c>
      <c r="E135" s="89" t="s">
        <v>794</v>
      </c>
      <c r="F135" s="154"/>
      <c r="G135" s="52">
        <v>36297</v>
      </c>
      <c r="H135" s="90">
        <v>39948</v>
      </c>
      <c r="I135" s="3"/>
      <c r="J135" s="34" t="s">
        <v>746</v>
      </c>
      <c r="K135" s="40">
        <v>14794.79</v>
      </c>
      <c r="L135" s="21"/>
      <c r="M135" s="47" t="s">
        <v>98</v>
      </c>
      <c r="N135" s="27"/>
      <c r="O135" s="40">
        <f aca="true" t="shared" si="6" ref="O135:O151">K135+M135</f>
        <v>14794.79</v>
      </c>
      <c r="P135" s="21"/>
    </row>
    <row r="136" spans="3:16" ht="15.75" customHeight="1">
      <c r="C136" s="88" t="s">
        <v>34</v>
      </c>
      <c r="D136" s="48" t="s">
        <v>816</v>
      </c>
      <c r="E136" s="89">
        <v>6</v>
      </c>
      <c r="F136" s="154"/>
      <c r="G136" s="52">
        <v>36388</v>
      </c>
      <c r="H136" s="90">
        <v>40040</v>
      </c>
      <c r="I136" s="3"/>
      <c r="J136" s="34" t="s">
        <v>792</v>
      </c>
      <c r="K136" s="40">
        <v>27399.894</v>
      </c>
      <c r="L136" s="21"/>
      <c r="M136" s="47" t="s">
        <v>98</v>
      </c>
      <c r="N136" s="27"/>
      <c r="O136" s="40">
        <f t="shared" si="6"/>
        <v>27399.894</v>
      </c>
      <c r="P136" s="21"/>
    </row>
    <row r="137" spans="3:16" ht="15.75" customHeight="1">
      <c r="C137" s="43" t="s">
        <v>35</v>
      </c>
      <c r="D137" s="48" t="s">
        <v>805</v>
      </c>
      <c r="E137" s="48" t="s">
        <v>803</v>
      </c>
      <c r="F137" s="154"/>
      <c r="G137" s="52">
        <v>36571</v>
      </c>
      <c r="H137" s="90">
        <v>40224</v>
      </c>
      <c r="I137" s="3"/>
      <c r="J137" s="34" t="s">
        <v>745</v>
      </c>
      <c r="K137" s="40">
        <v>23355.709</v>
      </c>
      <c r="L137" s="21"/>
      <c r="M137" s="47" t="s">
        <v>98</v>
      </c>
      <c r="N137" s="27"/>
      <c r="O137" s="40">
        <f t="shared" si="6"/>
        <v>23355.709</v>
      </c>
      <c r="P137" s="21"/>
    </row>
    <row r="138" spans="3:16" ht="15.75" customHeight="1">
      <c r="C138" s="43" t="s">
        <v>36</v>
      </c>
      <c r="D138" s="48" t="s">
        <v>816</v>
      </c>
      <c r="E138" s="89" t="s">
        <v>107</v>
      </c>
      <c r="F138" s="154"/>
      <c r="G138" s="52">
        <v>36753</v>
      </c>
      <c r="H138" s="90">
        <v>40405</v>
      </c>
      <c r="I138" s="3"/>
      <c r="J138" s="34" t="s">
        <v>792</v>
      </c>
      <c r="K138" s="40">
        <v>22437.594</v>
      </c>
      <c r="L138" s="21"/>
      <c r="M138" s="47" t="s">
        <v>98</v>
      </c>
      <c r="N138" s="27"/>
      <c r="O138" s="40">
        <f t="shared" si="6"/>
        <v>22437.594</v>
      </c>
      <c r="P138" s="21"/>
    </row>
    <row r="139" spans="3:16" ht="15.75" customHeight="1">
      <c r="C139" s="43" t="s">
        <v>763</v>
      </c>
      <c r="D139" s="48" t="s">
        <v>805</v>
      </c>
      <c r="E139" s="89">
        <v>5</v>
      </c>
      <c r="F139" s="154"/>
      <c r="G139" s="52">
        <v>36937</v>
      </c>
      <c r="H139" s="90">
        <v>40589</v>
      </c>
      <c r="I139" s="3"/>
      <c r="J139" s="34" t="s">
        <v>745</v>
      </c>
      <c r="K139" s="40">
        <v>23436.329</v>
      </c>
      <c r="L139" s="21"/>
      <c r="M139" s="47" t="s">
        <v>98</v>
      </c>
      <c r="N139" s="27"/>
      <c r="O139" s="40">
        <f t="shared" si="6"/>
        <v>23436.329</v>
      </c>
      <c r="P139" s="21"/>
    </row>
    <row r="140" spans="3:16" ht="15.75" customHeight="1">
      <c r="C140" s="43" t="s">
        <v>883</v>
      </c>
      <c r="D140" s="48" t="s">
        <v>816</v>
      </c>
      <c r="E140" s="89">
        <v>5</v>
      </c>
      <c r="F140" s="154"/>
      <c r="G140" s="52">
        <v>37118</v>
      </c>
      <c r="H140" s="90">
        <v>40770</v>
      </c>
      <c r="I140" s="3"/>
      <c r="J140" s="34" t="s">
        <v>792</v>
      </c>
      <c r="K140" s="40">
        <v>26635.316</v>
      </c>
      <c r="L140" s="21"/>
      <c r="M140" s="47" t="s">
        <v>98</v>
      </c>
      <c r="N140" s="27"/>
      <c r="O140" s="40">
        <f aca="true" t="shared" si="7" ref="O140:O145">K140+M140</f>
        <v>26635.316</v>
      </c>
      <c r="P140" s="21"/>
    </row>
    <row r="141" spans="3:16" ht="15.75" customHeight="1">
      <c r="C141" s="43" t="s">
        <v>1096</v>
      </c>
      <c r="D141" s="48" t="s">
        <v>805</v>
      </c>
      <c r="E141" s="89" t="s">
        <v>1097</v>
      </c>
      <c r="F141" s="154"/>
      <c r="G141" s="52">
        <v>37302</v>
      </c>
      <c r="H141" s="90">
        <v>40954</v>
      </c>
      <c r="I141" s="3"/>
      <c r="J141" s="34" t="s">
        <v>745</v>
      </c>
      <c r="K141" s="40">
        <v>24779.838</v>
      </c>
      <c r="L141" s="21"/>
      <c r="M141" s="47" t="s">
        <v>98</v>
      </c>
      <c r="N141" s="27"/>
      <c r="O141" s="40">
        <f t="shared" si="7"/>
        <v>24779.838</v>
      </c>
      <c r="P141" s="21"/>
    </row>
    <row r="142" spans="3:16" ht="15.75" customHeight="1">
      <c r="C142" s="43" t="s">
        <v>591</v>
      </c>
      <c r="D142" s="48" t="s">
        <v>825</v>
      </c>
      <c r="E142" s="89" t="s">
        <v>501</v>
      </c>
      <c r="F142" s="154"/>
      <c r="G142" s="52">
        <v>37483</v>
      </c>
      <c r="H142" s="90">
        <v>41136</v>
      </c>
      <c r="I142" s="3"/>
      <c r="J142" s="34" t="s">
        <v>792</v>
      </c>
      <c r="K142" s="40">
        <v>19647.976</v>
      </c>
      <c r="L142" s="21"/>
      <c r="M142" s="47" t="s">
        <v>98</v>
      </c>
      <c r="N142" s="27"/>
      <c r="O142" s="40">
        <f t="shared" si="7"/>
        <v>19647.976</v>
      </c>
      <c r="P142" s="21"/>
    </row>
    <row r="143" spans="3:16" ht="15.75" customHeight="1">
      <c r="C143" s="43" t="s">
        <v>122</v>
      </c>
      <c r="D143" s="48" t="s">
        <v>108</v>
      </c>
      <c r="E143" s="89" t="s">
        <v>1196</v>
      </c>
      <c r="F143" s="154"/>
      <c r="G143" s="52">
        <v>37575</v>
      </c>
      <c r="H143" s="90">
        <v>41228</v>
      </c>
      <c r="I143" s="3"/>
      <c r="J143" s="34" t="s">
        <v>807</v>
      </c>
      <c r="K143" s="40">
        <v>18112.742</v>
      </c>
      <c r="L143" s="21"/>
      <c r="M143" s="47" t="s">
        <v>98</v>
      </c>
      <c r="N143" s="27"/>
      <c r="O143" s="40">
        <f t="shared" si="7"/>
        <v>18112.742</v>
      </c>
      <c r="P143" s="21"/>
    </row>
    <row r="144" spans="3:16" ht="15.75" customHeight="1">
      <c r="C144" s="43" t="s">
        <v>129</v>
      </c>
      <c r="D144" s="48" t="s">
        <v>114</v>
      </c>
      <c r="E144" s="141" t="s">
        <v>417</v>
      </c>
      <c r="F144" s="154"/>
      <c r="G144" s="52">
        <v>37670</v>
      </c>
      <c r="H144" s="90">
        <v>41320</v>
      </c>
      <c r="I144" s="3"/>
      <c r="J144" s="34" t="s">
        <v>745</v>
      </c>
      <c r="K144" s="40">
        <v>19498.396</v>
      </c>
      <c r="L144" s="21"/>
      <c r="M144" s="47" t="s">
        <v>98</v>
      </c>
      <c r="N144" s="27"/>
      <c r="O144" s="40">
        <f t="shared" si="7"/>
        <v>19498.396</v>
      </c>
      <c r="P144" s="21"/>
    </row>
    <row r="145" spans="3:16" ht="15.75" customHeight="1">
      <c r="C145" s="43" t="s">
        <v>513</v>
      </c>
      <c r="D145" s="48" t="s">
        <v>805</v>
      </c>
      <c r="E145" s="141" t="s">
        <v>612</v>
      </c>
      <c r="F145" s="154"/>
      <c r="G145" s="52">
        <v>37756</v>
      </c>
      <c r="H145" s="90">
        <v>41409</v>
      </c>
      <c r="I145" s="3"/>
      <c r="J145" s="34" t="s">
        <v>746</v>
      </c>
      <c r="K145" s="40">
        <v>18253.553</v>
      </c>
      <c r="L145" s="21"/>
      <c r="M145" s="47" t="s">
        <v>98</v>
      </c>
      <c r="N145" s="27"/>
      <c r="O145" s="40">
        <f t="shared" si="7"/>
        <v>18253.553</v>
      </c>
      <c r="P145" s="21"/>
    </row>
    <row r="146" spans="3:16" ht="15.75" customHeight="1">
      <c r="C146" s="43" t="s">
        <v>395</v>
      </c>
      <c r="D146" s="48" t="s">
        <v>825</v>
      </c>
      <c r="E146" s="141" t="s">
        <v>834</v>
      </c>
      <c r="F146" s="154"/>
      <c r="G146" s="52">
        <v>37848</v>
      </c>
      <c r="H146" s="90">
        <v>41501</v>
      </c>
      <c r="I146" s="3"/>
      <c r="J146" s="34" t="s">
        <v>792</v>
      </c>
      <c r="K146" s="40">
        <v>33521.123</v>
      </c>
      <c r="L146" s="21"/>
      <c r="M146" s="47" t="s">
        <v>98</v>
      </c>
      <c r="N146" s="27"/>
      <c r="O146" s="40">
        <f>K146</f>
        <v>33521.123</v>
      </c>
      <c r="P146" s="21"/>
    </row>
    <row r="147" spans="3:16" ht="15.75" customHeight="1">
      <c r="C147" s="43" t="s">
        <v>382</v>
      </c>
      <c r="D147" s="48" t="s">
        <v>108</v>
      </c>
      <c r="E147" s="141" t="s">
        <v>834</v>
      </c>
      <c r="F147" s="154"/>
      <c r="G147" s="52">
        <v>37942</v>
      </c>
      <c r="H147" s="90">
        <v>41593</v>
      </c>
      <c r="I147" s="3"/>
      <c r="J147" s="34" t="s">
        <v>807</v>
      </c>
      <c r="K147" s="40">
        <v>30636.844</v>
      </c>
      <c r="L147" s="21"/>
      <c r="M147" s="47" t="s">
        <v>98</v>
      </c>
      <c r="N147" s="27"/>
      <c r="O147" s="40">
        <f>K147</f>
        <v>30636.844</v>
      </c>
      <c r="P147" s="21"/>
    </row>
    <row r="148" spans="3:16" ht="15.75" customHeight="1">
      <c r="C148" s="43" t="s">
        <v>654</v>
      </c>
      <c r="D148" s="48" t="s">
        <v>805</v>
      </c>
      <c r="E148" s="89" t="s">
        <v>1196</v>
      </c>
      <c r="F148" s="154"/>
      <c r="G148" s="52">
        <v>38034</v>
      </c>
      <c r="H148" s="90">
        <v>41685</v>
      </c>
      <c r="I148" s="3"/>
      <c r="J148" s="34" t="s">
        <v>745</v>
      </c>
      <c r="K148" s="40">
        <v>28081.066</v>
      </c>
      <c r="L148" s="21"/>
      <c r="M148" s="47" t="s">
        <v>98</v>
      </c>
      <c r="N148" s="27"/>
      <c r="O148" s="40">
        <f>K148</f>
        <v>28081.066</v>
      </c>
      <c r="P148" s="21"/>
    </row>
    <row r="149" spans="2:16" ht="15.75" customHeight="1">
      <c r="B149" s="9" t="s">
        <v>255</v>
      </c>
      <c r="F149" s="43"/>
      <c r="G149" s="16" t="s">
        <v>99</v>
      </c>
      <c r="H149" s="46" t="s">
        <v>100</v>
      </c>
      <c r="I149" s="3"/>
      <c r="J149" s="34" t="s">
        <v>101</v>
      </c>
      <c r="K149" s="56">
        <f>SUM(K60:K148)</f>
        <v>1983414.5720000006</v>
      </c>
      <c r="L149" s="212"/>
      <c r="M149" s="213" t="s">
        <v>98</v>
      </c>
      <c r="N149" s="214"/>
      <c r="O149" s="220">
        <f t="shared" si="6"/>
        <v>1983414.5720000006</v>
      </c>
      <c r="P149" s="212"/>
    </row>
    <row r="150" spans="2:16" ht="15.75" customHeight="1">
      <c r="B150" t="s">
        <v>379</v>
      </c>
      <c r="F150" s="65"/>
      <c r="G150" s="16" t="s">
        <v>99</v>
      </c>
      <c r="H150" s="46" t="s">
        <v>100</v>
      </c>
      <c r="I150" s="3"/>
      <c r="J150" s="34" t="s">
        <v>101</v>
      </c>
      <c r="K150" s="56">
        <v>50.949</v>
      </c>
      <c r="L150" s="258"/>
      <c r="M150" s="213" t="s">
        <v>98</v>
      </c>
      <c r="N150" s="214"/>
      <c r="O150" s="220">
        <f t="shared" si="6"/>
        <v>50.949</v>
      </c>
      <c r="P150" s="212"/>
    </row>
    <row r="151" spans="2:16" ht="15.75" customHeight="1" thickBot="1">
      <c r="B151" s="75" t="s">
        <v>256</v>
      </c>
      <c r="F151" s="43"/>
      <c r="G151" s="16" t="s">
        <v>99</v>
      </c>
      <c r="H151" s="46" t="s">
        <v>100</v>
      </c>
      <c r="I151" s="3"/>
      <c r="J151" s="34" t="s">
        <v>101</v>
      </c>
      <c r="K151" s="218">
        <f>SUM(K149:K150)</f>
        <v>1983465.5210000006</v>
      </c>
      <c r="L151" s="219"/>
      <c r="M151" s="221" t="s">
        <v>98</v>
      </c>
      <c r="N151" s="222"/>
      <c r="O151" s="218">
        <f t="shared" si="6"/>
        <v>1983465.5210000006</v>
      </c>
      <c r="P151" s="219"/>
    </row>
    <row r="152" spans="6:16" ht="15.75" customHeight="1" thickTop="1">
      <c r="F152" s="43"/>
      <c r="G152" s="97"/>
      <c r="H152" s="185"/>
      <c r="I152" s="3"/>
      <c r="J152" s="131"/>
      <c r="K152" s="108"/>
      <c r="L152" s="108"/>
      <c r="M152" s="109"/>
      <c r="N152" s="109"/>
      <c r="O152" s="108"/>
      <c r="P152" s="108"/>
    </row>
    <row r="192" spans="1:16" ht="15.75" customHeight="1" thickBo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</row>
    <row r="193" spans="1:16" ht="16.5" thickTop="1">
      <c r="A193" s="7">
        <v>4</v>
      </c>
      <c r="B193" s="2" t="str">
        <f>B95</f>
        <v>TABLE III - DETAIL OF TREASURY SECURITIES OUTSTANDING, MARCH 31, 2004 -- Continued</v>
      </c>
      <c r="C193" s="2"/>
      <c r="D193" s="3"/>
      <c r="E193" s="3"/>
      <c r="F193" s="3"/>
      <c r="G193" s="3"/>
      <c r="H193" s="3"/>
      <c r="I193" s="29"/>
      <c r="J193" s="3"/>
      <c r="K193" s="3"/>
      <c r="L193" s="3"/>
      <c r="M193" s="3"/>
      <c r="N193" s="3"/>
      <c r="O193" s="3"/>
      <c r="P193" s="95"/>
    </row>
    <row r="194" spans="1:16" ht="11.25" customHeight="1" thickBot="1">
      <c r="A194" s="7"/>
      <c r="B194" s="2"/>
      <c r="C194" s="2"/>
      <c r="D194" s="3"/>
      <c r="E194" s="3"/>
      <c r="F194" s="3"/>
      <c r="G194" s="3"/>
      <c r="H194" s="3"/>
      <c r="I194" s="29"/>
      <c r="J194" s="3"/>
      <c r="K194" s="3"/>
      <c r="L194" s="3"/>
      <c r="M194" s="3"/>
      <c r="N194" s="3"/>
      <c r="O194" s="3"/>
      <c r="P194" s="2"/>
    </row>
    <row r="195" spans="1:16" ht="16.5" customHeight="1" thickTop="1">
      <c r="A195" s="32"/>
      <c r="B195" s="32"/>
      <c r="C195" s="32"/>
      <c r="D195" s="32"/>
      <c r="E195" s="32"/>
      <c r="F195" s="32"/>
      <c r="G195" s="26"/>
      <c r="H195" s="26"/>
      <c r="I195" s="33"/>
      <c r="J195" s="67"/>
      <c r="K195" s="26"/>
      <c r="L195" s="32"/>
      <c r="M195" s="32"/>
      <c r="N195" s="32"/>
      <c r="O195" s="32"/>
      <c r="P195" s="32"/>
    </row>
    <row r="196" spans="7:16" ht="15.75" customHeight="1">
      <c r="G196" s="16" t="s">
        <v>334</v>
      </c>
      <c r="H196" s="16" t="s">
        <v>335</v>
      </c>
      <c r="I196" s="29"/>
      <c r="J196" s="34" t="s">
        <v>336</v>
      </c>
      <c r="K196" s="16" t="s">
        <v>337</v>
      </c>
      <c r="L196" s="3"/>
      <c r="M196" s="3"/>
      <c r="N196" s="3"/>
      <c r="O196" s="3"/>
      <c r="P196" s="3"/>
    </row>
    <row r="197" spans="1:11" ht="15.75" customHeight="1">
      <c r="A197" s="3" t="s">
        <v>338</v>
      </c>
      <c r="B197" s="3"/>
      <c r="C197" s="3"/>
      <c r="D197" s="3"/>
      <c r="E197" s="3"/>
      <c r="F197" s="3"/>
      <c r="G197" s="16" t="s">
        <v>339</v>
      </c>
      <c r="H197" s="16" t="s">
        <v>340</v>
      </c>
      <c r="I197" s="29"/>
      <c r="J197" s="34" t="s">
        <v>341</v>
      </c>
      <c r="K197" s="14"/>
    </row>
    <row r="198" spans="1:16" ht="15.75" customHeight="1">
      <c r="A198" s="15"/>
      <c r="B198" s="15"/>
      <c r="C198" s="15"/>
      <c r="D198" s="15"/>
      <c r="E198" s="15"/>
      <c r="F198" s="15"/>
      <c r="G198" s="164"/>
      <c r="H198" s="35"/>
      <c r="I198" s="36"/>
      <c r="J198" s="164"/>
      <c r="K198" s="37" t="s">
        <v>342</v>
      </c>
      <c r="L198" s="38"/>
      <c r="M198" s="37" t="s">
        <v>93</v>
      </c>
      <c r="N198" s="38"/>
      <c r="O198" s="37" t="s">
        <v>1007</v>
      </c>
      <c r="P198" s="38"/>
    </row>
    <row r="199" spans="7:15" ht="0.75" customHeight="1" hidden="1">
      <c r="G199" s="14"/>
      <c r="H199" s="14"/>
      <c r="I199" s="31"/>
      <c r="J199" s="34"/>
      <c r="K199" s="14"/>
      <c r="M199" s="14"/>
      <c r="O199" s="14"/>
    </row>
    <row r="200" spans="7:16" ht="15.75" customHeight="1">
      <c r="G200" s="18"/>
      <c r="H200" s="18"/>
      <c r="I200" s="39"/>
      <c r="J200" s="68"/>
      <c r="K200" s="14"/>
      <c r="M200" s="14"/>
      <c r="O200" s="40"/>
      <c r="P200" s="21"/>
    </row>
    <row r="201" spans="1:16" ht="18" customHeight="1">
      <c r="A201" s="60" t="s">
        <v>1016</v>
      </c>
      <c r="B201" s="60"/>
      <c r="G201" s="18"/>
      <c r="H201" s="18"/>
      <c r="I201" s="39"/>
      <c r="J201" s="68"/>
      <c r="K201" s="14"/>
      <c r="M201" s="14"/>
      <c r="O201" s="40"/>
      <c r="P201" s="21"/>
    </row>
    <row r="202" spans="2:15" ht="21" customHeight="1">
      <c r="B202" s="9" t="s">
        <v>478</v>
      </c>
      <c r="C202" s="43"/>
      <c r="D202" s="155" t="s">
        <v>2</v>
      </c>
      <c r="F202" s="19"/>
      <c r="G202" s="45"/>
      <c r="H202" s="45"/>
      <c r="J202" s="34"/>
      <c r="K202" s="14"/>
      <c r="M202" s="14"/>
      <c r="O202" s="40" t="s">
        <v>1004</v>
      </c>
    </row>
    <row r="203" spans="2:16" ht="17.25" customHeight="1">
      <c r="B203" s="9" t="s">
        <v>96</v>
      </c>
      <c r="D203" s="3"/>
      <c r="E203" s="3" t="s">
        <v>104</v>
      </c>
      <c r="F203" s="3"/>
      <c r="G203" s="70"/>
      <c r="I203" s="42"/>
      <c r="J203" s="68"/>
      <c r="K203" s="14"/>
      <c r="M203" s="14"/>
      <c r="O203" s="40"/>
      <c r="P203" s="21"/>
    </row>
    <row r="204" spans="3:16" ht="15.75" customHeight="1">
      <c r="C204" s="43" t="s">
        <v>786</v>
      </c>
      <c r="E204" s="48" t="s">
        <v>806</v>
      </c>
      <c r="F204" s="154">
        <v>7</v>
      </c>
      <c r="G204" s="46">
        <v>28990</v>
      </c>
      <c r="H204" s="107">
        <v>39948</v>
      </c>
      <c r="I204" s="160"/>
      <c r="J204" s="34" t="s">
        <v>746</v>
      </c>
      <c r="K204" s="40">
        <v>4605.676</v>
      </c>
      <c r="L204" s="21"/>
      <c r="M204" s="47" t="s">
        <v>98</v>
      </c>
      <c r="N204" s="27"/>
      <c r="O204" s="40">
        <f>K204+M204</f>
        <v>4605.676</v>
      </c>
      <c r="P204" s="21"/>
    </row>
    <row r="205" spans="7:16" ht="15.75" customHeight="1">
      <c r="G205" s="45"/>
      <c r="H205" s="107">
        <v>38122</v>
      </c>
      <c r="I205" s="159">
        <v>8</v>
      </c>
      <c r="J205" s="34"/>
      <c r="K205" s="40"/>
      <c r="L205" s="21"/>
      <c r="M205" s="40"/>
      <c r="N205" s="21"/>
      <c r="O205" s="40" t="s">
        <v>1004</v>
      </c>
      <c r="P205" s="21"/>
    </row>
    <row r="206" spans="3:16" ht="15.75" customHeight="1">
      <c r="C206" s="43" t="s">
        <v>37</v>
      </c>
      <c r="E206" s="48" t="s">
        <v>841</v>
      </c>
      <c r="F206" s="154">
        <v>7</v>
      </c>
      <c r="G206" s="46">
        <v>30777</v>
      </c>
      <c r="H206" s="125">
        <v>38122</v>
      </c>
      <c r="I206" s="160"/>
      <c r="J206" s="34" t="s">
        <v>746</v>
      </c>
      <c r="K206" s="40">
        <v>3754.928</v>
      </c>
      <c r="L206" s="21"/>
      <c r="M206" s="47" t="s">
        <v>98</v>
      </c>
      <c r="N206" s="27"/>
      <c r="O206" s="40">
        <f>K206+M206</f>
        <v>3754.928</v>
      </c>
      <c r="P206" s="21"/>
    </row>
    <row r="207" spans="3:16" ht="15.75" customHeight="1">
      <c r="C207" s="43" t="s">
        <v>38</v>
      </c>
      <c r="E207" s="48" t="s">
        <v>842</v>
      </c>
      <c r="F207" s="154">
        <v>7</v>
      </c>
      <c r="G207" s="46">
        <v>30873</v>
      </c>
      <c r="H207" s="125">
        <v>38214</v>
      </c>
      <c r="I207" s="160"/>
      <c r="J207" s="34" t="s">
        <v>792</v>
      </c>
      <c r="K207" s="40">
        <v>4000.363</v>
      </c>
      <c r="L207" s="21"/>
      <c r="M207" s="47" t="s">
        <v>98</v>
      </c>
      <c r="N207" s="27"/>
      <c r="O207" s="40">
        <f>K207+M207</f>
        <v>4000.363</v>
      </c>
      <c r="P207" s="21"/>
    </row>
    <row r="208" spans="3:16" ht="15.75" customHeight="1">
      <c r="C208" s="43" t="s">
        <v>39</v>
      </c>
      <c r="E208" s="48" t="s">
        <v>843</v>
      </c>
      <c r="F208" s="154">
        <v>7</v>
      </c>
      <c r="G208" s="46">
        <v>29174</v>
      </c>
      <c r="H208" s="125">
        <v>40132</v>
      </c>
      <c r="I208" s="160"/>
      <c r="J208" s="34" t="s">
        <v>807</v>
      </c>
      <c r="K208" s="40">
        <v>4201.062</v>
      </c>
      <c r="L208" s="21"/>
      <c r="M208" s="47" t="s">
        <v>98</v>
      </c>
      <c r="N208" s="27"/>
      <c r="O208" s="40">
        <f>K208+M208</f>
        <v>4201.062</v>
      </c>
      <c r="P208" s="21"/>
    </row>
    <row r="209" spans="6:16" ht="15.75" customHeight="1">
      <c r="F209" s="154"/>
      <c r="G209" s="45"/>
      <c r="H209" s="107">
        <v>38306</v>
      </c>
      <c r="I209" s="159">
        <v>8</v>
      </c>
      <c r="J209" s="34"/>
      <c r="K209" s="40"/>
      <c r="L209" s="21"/>
      <c r="M209" s="40"/>
      <c r="N209" s="21"/>
      <c r="O209" s="40" t="s">
        <v>1004</v>
      </c>
      <c r="P209" s="21"/>
    </row>
    <row r="210" spans="3:16" ht="15.75" customHeight="1">
      <c r="C210" s="43" t="s">
        <v>40</v>
      </c>
      <c r="E210" s="48" t="s">
        <v>839</v>
      </c>
      <c r="G210" s="46">
        <v>30985</v>
      </c>
      <c r="H210" s="125">
        <v>38306</v>
      </c>
      <c r="I210" s="160"/>
      <c r="J210" s="34" t="s">
        <v>807</v>
      </c>
      <c r="K210" s="40">
        <v>8301.806</v>
      </c>
      <c r="L210" s="21"/>
      <c r="M210" s="47" t="s">
        <v>98</v>
      </c>
      <c r="N210" s="27"/>
      <c r="O210" s="40">
        <f>K210+M210</f>
        <v>8301.806</v>
      </c>
      <c r="P210" s="21"/>
    </row>
    <row r="211" spans="3:16" ht="15.75" customHeight="1">
      <c r="C211" s="43" t="s">
        <v>41</v>
      </c>
      <c r="E211" s="48" t="s">
        <v>837</v>
      </c>
      <c r="F211" s="154">
        <v>7</v>
      </c>
      <c r="G211" s="46">
        <v>29266</v>
      </c>
      <c r="H211" s="125">
        <v>40224</v>
      </c>
      <c r="I211" s="160"/>
      <c r="J211" s="34" t="s">
        <v>745</v>
      </c>
      <c r="K211" s="40">
        <v>2647.309</v>
      </c>
      <c r="L211" s="21"/>
      <c r="M211" s="51">
        <v>-332.1</v>
      </c>
      <c r="N211" s="21"/>
      <c r="O211" s="40">
        <f>K211+M211</f>
        <v>2315.2090000000003</v>
      </c>
      <c r="P211" s="21"/>
    </row>
    <row r="212" spans="6:16" ht="15.75" customHeight="1">
      <c r="F212" s="158"/>
      <c r="G212" s="45"/>
      <c r="H212" s="107">
        <v>38398</v>
      </c>
      <c r="I212" s="159">
        <v>8</v>
      </c>
      <c r="J212" s="34"/>
      <c r="K212" s="40"/>
      <c r="L212" s="21"/>
      <c r="M212" s="40"/>
      <c r="N212" s="21"/>
      <c r="O212" s="40" t="s">
        <v>1004</v>
      </c>
      <c r="P212" s="21"/>
    </row>
    <row r="213" spans="3:16" ht="15.75" customHeight="1">
      <c r="C213" s="43" t="s">
        <v>42</v>
      </c>
      <c r="E213" s="48" t="s">
        <v>844</v>
      </c>
      <c r="F213" s="154">
        <v>7</v>
      </c>
      <c r="G213" s="46">
        <v>29356</v>
      </c>
      <c r="H213" s="125">
        <v>40313</v>
      </c>
      <c r="I213" s="160"/>
      <c r="J213" s="402" t="s">
        <v>746</v>
      </c>
      <c r="K213" s="40">
        <v>2987.44</v>
      </c>
      <c r="L213" s="21"/>
      <c r="M213" s="47" t="s">
        <v>98</v>
      </c>
      <c r="N213" s="27"/>
      <c r="O213" s="40">
        <f>K213+M213</f>
        <v>2987.44</v>
      </c>
      <c r="P213" s="21"/>
    </row>
    <row r="214" spans="6:16" ht="15.75" customHeight="1">
      <c r="F214" s="158"/>
      <c r="G214" s="45"/>
      <c r="H214" s="107">
        <v>38487</v>
      </c>
      <c r="I214" s="159">
        <v>8</v>
      </c>
      <c r="J214" s="34"/>
      <c r="K214" s="40"/>
      <c r="L214" s="21"/>
      <c r="M214" s="40"/>
      <c r="N214" s="21"/>
      <c r="O214" s="40" t="s">
        <v>1004</v>
      </c>
      <c r="P214" s="21"/>
    </row>
    <row r="215" spans="3:16" ht="15.75" customHeight="1">
      <c r="C215" s="43" t="s">
        <v>43</v>
      </c>
      <c r="E215" s="48" t="s">
        <v>845</v>
      </c>
      <c r="F215" s="154"/>
      <c r="G215" s="46">
        <v>31139</v>
      </c>
      <c r="H215" s="125">
        <v>38487</v>
      </c>
      <c r="I215" s="160"/>
      <c r="J215" s="34" t="s">
        <v>746</v>
      </c>
      <c r="K215" s="40">
        <v>4260.758</v>
      </c>
      <c r="L215" s="21"/>
      <c r="M215" s="47" t="s">
        <v>98</v>
      </c>
      <c r="N215" s="27"/>
      <c r="O215" s="40">
        <f>K215+M215</f>
        <v>4260.758</v>
      </c>
      <c r="P215" s="21"/>
    </row>
    <row r="216" spans="3:16" ht="15.75" customHeight="1">
      <c r="C216" s="43" t="s">
        <v>44</v>
      </c>
      <c r="E216" s="89" t="s">
        <v>840</v>
      </c>
      <c r="G216" s="52">
        <v>31230</v>
      </c>
      <c r="H216" s="125">
        <v>38579</v>
      </c>
      <c r="I216" s="160"/>
      <c r="J216" s="34" t="s">
        <v>792</v>
      </c>
      <c r="K216" s="40">
        <v>9269.713</v>
      </c>
      <c r="L216" s="21"/>
      <c r="M216" s="47" t="s">
        <v>98</v>
      </c>
      <c r="N216" s="27"/>
      <c r="O216" s="40">
        <f aca="true" t="shared" si="8" ref="O216:O230">K216+M216</f>
        <v>9269.713</v>
      </c>
      <c r="P216" s="21"/>
    </row>
    <row r="217" spans="3:16" ht="15.75" customHeight="1">
      <c r="C217" s="43" t="s">
        <v>45</v>
      </c>
      <c r="E217" s="48" t="s">
        <v>846</v>
      </c>
      <c r="F217" s="154">
        <v>7</v>
      </c>
      <c r="G217" s="46">
        <v>29542</v>
      </c>
      <c r="H217" s="125">
        <v>40497</v>
      </c>
      <c r="I217" s="160"/>
      <c r="J217" s="34" t="s">
        <v>807</v>
      </c>
      <c r="K217" s="40">
        <v>4736.37</v>
      </c>
      <c r="L217" s="21"/>
      <c r="M217" s="51">
        <v>-655</v>
      </c>
      <c r="N217" s="27"/>
      <c r="O217" s="40">
        <f t="shared" si="8"/>
        <v>4081.37</v>
      </c>
      <c r="P217" s="21"/>
    </row>
    <row r="218" spans="2:16" ht="15.75" customHeight="1">
      <c r="B218" s="9"/>
      <c r="E218" s="3"/>
      <c r="F218" s="161"/>
      <c r="G218" s="46"/>
      <c r="H218" s="107">
        <v>38671</v>
      </c>
      <c r="I218" s="159">
        <v>8</v>
      </c>
      <c r="J218" s="68"/>
      <c r="K218" s="14"/>
      <c r="M218" s="14"/>
      <c r="O218" s="40" t="s">
        <v>1004</v>
      </c>
      <c r="P218" s="21"/>
    </row>
    <row r="219" spans="2:16" ht="15.75" customHeight="1">
      <c r="B219" s="9"/>
      <c r="C219" s="43" t="s">
        <v>46</v>
      </c>
      <c r="E219" s="48" t="s">
        <v>847</v>
      </c>
      <c r="G219" s="46">
        <v>31427</v>
      </c>
      <c r="H219" s="125">
        <v>38763</v>
      </c>
      <c r="I219" s="161"/>
      <c r="J219" s="34" t="s">
        <v>745</v>
      </c>
      <c r="K219" s="40">
        <v>4755.916</v>
      </c>
      <c r="L219" s="21"/>
      <c r="M219" s="47" t="s">
        <v>98</v>
      </c>
      <c r="N219" s="27"/>
      <c r="O219" s="40">
        <f t="shared" si="8"/>
        <v>4755.916</v>
      </c>
      <c r="P219" s="21"/>
    </row>
    <row r="220" spans="2:16" ht="15.75" customHeight="1">
      <c r="B220" s="9"/>
      <c r="C220" s="43" t="s">
        <v>47</v>
      </c>
      <c r="E220" s="48" t="s">
        <v>848</v>
      </c>
      <c r="F220" s="154">
        <v>7</v>
      </c>
      <c r="G220" s="46">
        <v>29721</v>
      </c>
      <c r="H220" s="125">
        <v>40678</v>
      </c>
      <c r="I220" s="161"/>
      <c r="J220" s="34" t="s">
        <v>746</v>
      </c>
      <c r="K220" s="40">
        <v>4608.503</v>
      </c>
      <c r="L220" s="21"/>
      <c r="M220" s="51">
        <v>-1064</v>
      </c>
      <c r="N220" s="27"/>
      <c r="O220" s="40">
        <f t="shared" si="8"/>
        <v>3544.5029999999997</v>
      </c>
      <c r="P220" s="21"/>
    </row>
    <row r="221" spans="3:16" ht="15.75" customHeight="1">
      <c r="C221" s="43" t="s">
        <v>1004</v>
      </c>
      <c r="F221" s="153"/>
      <c r="G221" s="45"/>
      <c r="H221" s="107">
        <v>38852</v>
      </c>
      <c r="I221" s="159">
        <v>8</v>
      </c>
      <c r="J221" s="34"/>
      <c r="K221" s="40"/>
      <c r="L221" s="21"/>
      <c r="M221" s="40"/>
      <c r="N221" s="21"/>
      <c r="O221" s="40" t="s">
        <v>1004</v>
      </c>
      <c r="P221" s="21"/>
    </row>
    <row r="222" spans="3:16" ht="15.75" customHeight="1">
      <c r="C222" s="43" t="s">
        <v>48</v>
      </c>
      <c r="E222" s="48" t="s">
        <v>849</v>
      </c>
      <c r="F222" s="154">
        <v>7</v>
      </c>
      <c r="G222" s="46">
        <v>29906</v>
      </c>
      <c r="H222" s="125">
        <v>40862</v>
      </c>
      <c r="I222" s="160"/>
      <c r="J222" s="34" t="s">
        <v>807</v>
      </c>
      <c r="K222" s="40">
        <v>4900.545</v>
      </c>
      <c r="L222" s="21"/>
      <c r="M222" s="51">
        <v>-852.1</v>
      </c>
      <c r="N222" s="27"/>
      <c r="O222" s="40">
        <f t="shared" si="8"/>
        <v>4048.445</v>
      </c>
      <c r="P222" s="21"/>
    </row>
    <row r="223" spans="6:16" ht="15.75" customHeight="1">
      <c r="F223" s="153"/>
      <c r="G223" s="45"/>
      <c r="H223" s="107">
        <v>39036</v>
      </c>
      <c r="I223" s="159">
        <v>8</v>
      </c>
      <c r="J223" s="34"/>
      <c r="K223" s="40"/>
      <c r="L223" s="21"/>
      <c r="M223" s="40"/>
      <c r="N223" s="21"/>
      <c r="O223" s="40" t="s">
        <v>1004</v>
      </c>
      <c r="P223" s="21"/>
    </row>
    <row r="224" spans="3:16" ht="15.75" customHeight="1">
      <c r="C224" s="43" t="s">
        <v>683</v>
      </c>
      <c r="E224" s="48" t="s">
        <v>843</v>
      </c>
      <c r="F224" s="154">
        <v>7</v>
      </c>
      <c r="G224" s="46">
        <v>30270</v>
      </c>
      <c r="H224" s="125">
        <v>41228</v>
      </c>
      <c r="I224" s="160"/>
      <c r="J224" s="34" t="s">
        <v>807</v>
      </c>
      <c r="K224" s="40">
        <v>11031.518</v>
      </c>
      <c r="L224" s="21"/>
      <c r="M224" s="51">
        <v>-905.5</v>
      </c>
      <c r="N224" s="21"/>
      <c r="O224" s="40">
        <f t="shared" si="8"/>
        <v>10126.018</v>
      </c>
      <c r="P224" s="21"/>
    </row>
    <row r="225" spans="3:16" ht="15.75" customHeight="1">
      <c r="C225" s="43"/>
      <c r="E225" s="48"/>
      <c r="F225" s="153"/>
      <c r="G225" s="46"/>
      <c r="H225" s="107">
        <v>39401</v>
      </c>
      <c r="I225" s="159">
        <v>8</v>
      </c>
      <c r="J225" s="34"/>
      <c r="K225" s="40"/>
      <c r="L225" s="21"/>
      <c r="M225" s="47"/>
      <c r="N225" s="27"/>
      <c r="O225" s="40" t="s">
        <v>1004</v>
      </c>
      <c r="P225" s="21"/>
    </row>
    <row r="226" spans="3:16" ht="15.75" customHeight="1">
      <c r="C226" s="43" t="s">
        <v>684</v>
      </c>
      <c r="E226" s="48" t="s">
        <v>845</v>
      </c>
      <c r="F226" s="154">
        <v>7</v>
      </c>
      <c r="G226" s="46">
        <v>30543</v>
      </c>
      <c r="H226" s="125">
        <v>41501</v>
      </c>
      <c r="I226" s="160"/>
      <c r="J226" s="34" t="s">
        <v>792</v>
      </c>
      <c r="K226" s="40">
        <v>14755.363</v>
      </c>
      <c r="L226" s="21"/>
      <c r="M226" s="51">
        <v>-2838.3</v>
      </c>
      <c r="N226" s="184"/>
      <c r="O226" s="40">
        <f t="shared" si="8"/>
        <v>11917.062999999998</v>
      </c>
      <c r="P226" s="21"/>
    </row>
    <row r="227" spans="6:16" ht="15.75" customHeight="1">
      <c r="F227" s="153"/>
      <c r="G227" s="45"/>
      <c r="H227" s="107">
        <v>39675</v>
      </c>
      <c r="I227" s="159">
        <v>8</v>
      </c>
      <c r="J227" s="34"/>
      <c r="K227" s="40"/>
      <c r="L227" s="21"/>
      <c r="M227" s="40"/>
      <c r="N227" s="21"/>
      <c r="O227" s="40" t="s">
        <v>1004</v>
      </c>
      <c r="P227" s="21"/>
    </row>
    <row r="228" spans="3:16" ht="15.75" customHeight="1">
      <c r="C228" s="43" t="s">
        <v>685</v>
      </c>
      <c r="E228" s="48" t="s">
        <v>850</v>
      </c>
      <c r="F228" s="154">
        <v>7</v>
      </c>
      <c r="G228" s="46">
        <v>30817</v>
      </c>
      <c r="H228" s="125">
        <v>41774</v>
      </c>
      <c r="I228" s="160"/>
      <c r="J228" s="34" t="s">
        <v>746</v>
      </c>
      <c r="K228" s="40">
        <v>5007.367</v>
      </c>
      <c r="L228" s="21"/>
      <c r="M228" s="51">
        <v>-526.6</v>
      </c>
      <c r="N228" s="27"/>
      <c r="O228" s="40">
        <f t="shared" si="8"/>
        <v>4480.767</v>
      </c>
      <c r="P228" s="21"/>
    </row>
    <row r="229" spans="6:16" ht="15.75" customHeight="1">
      <c r="F229" s="153"/>
      <c r="G229" s="45"/>
      <c r="H229" s="107">
        <v>39948</v>
      </c>
      <c r="I229" s="159">
        <v>8</v>
      </c>
      <c r="J229" s="34"/>
      <c r="K229" s="40"/>
      <c r="L229" s="21"/>
      <c r="M229" s="40"/>
      <c r="N229" s="21"/>
      <c r="O229" s="40" t="s">
        <v>1004</v>
      </c>
      <c r="P229" s="21"/>
    </row>
    <row r="230" spans="3:16" ht="15.75" customHeight="1">
      <c r="C230" s="43" t="s">
        <v>686</v>
      </c>
      <c r="E230" s="48" t="s">
        <v>851</v>
      </c>
      <c r="F230" s="154">
        <v>7</v>
      </c>
      <c r="G230" s="46">
        <v>30909</v>
      </c>
      <c r="H230" s="125">
        <v>41866</v>
      </c>
      <c r="I230" s="160"/>
      <c r="J230" s="34" t="s">
        <v>792</v>
      </c>
      <c r="K230" s="40">
        <v>5128.392</v>
      </c>
      <c r="L230" s="21"/>
      <c r="M230" s="51">
        <v>-740.4</v>
      </c>
      <c r="N230" s="27"/>
      <c r="O230" s="40">
        <f t="shared" si="8"/>
        <v>4387.992</v>
      </c>
      <c r="P230" s="21"/>
    </row>
    <row r="231" spans="6:16" ht="15.75" customHeight="1">
      <c r="F231" s="153"/>
      <c r="G231" s="45"/>
      <c r="H231" s="107">
        <v>40040</v>
      </c>
      <c r="I231" s="159">
        <v>8</v>
      </c>
      <c r="J231" s="34"/>
      <c r="K231" s="40"/>
      <c r="L231" s="21"/>
      <c r="M231" s="40"/>
      <c r="N231" s="21"/>
      <c r="O231" s="40" t="s">
        <v>1004</v>
      </c>
      <c r="P231" s="21"/>
    </row>
    <row r="232" spans="3:16" ht="15.75" customHeight="1">
      <c r="C232" s="43" t="s">
        <v>687</v>
      </c>
      <c r="E232" s="48" t="s">
        <v>837</v>
      </c>
      <c r="F232" s="154"/>
      <c r="G232" s="46">
        <v>31001</v>
      </c>
      <c r="H232" s="125">
        <v>41958</v>
      </c>
      <c r="I232" s="160"/>
      <c r="J232" s="34" t="s">
        <v>807</v>
      </c>
      <c r="K232" s="40">
        <v>6005.584</v>
      </c>
      <c r="L232" s="21"/>
      <c r="M232" s="51">
        <v>-990.3</v>
      </c>
      <c r="N232" s="184"/>
      <c r="O232" s="40">
        <f>K232+M232</f>
        <v>5015.284</v>
      </c>
      <c r="P232" s="21"/>
    </row>
    <row r="233" spans="6:16" ht="15.75" customHeight="1">
      <c r="F233" s="158"/>
      <c r="G233" s="45"/>
      <c r="H233" s="107">
        <v>40132</v>
      </c>
      <c r="I233" s="159">
        <v>8</v>
      </c>
      <c r="J233" s="34"/>
      <c r="K233" s="40"/>
      <c r="L233" s="21"/>
      <c r="M233" s="40"/>
      <c r="N233" s="21"/>
      <c r="O233" s="40" t="s">
        <v>1004</v>
      </c>
      <c r="P233" s="21"/>
    </row>
    <row r="234" spans="3:16" ht="15.75" customHeight="1">
      <c r="C234" s="43" t="s">
        <v>690</v>
      </c>
      <c r="E234" s="48" t="s">
        <v>852</v>
      </c>
      <c r="F234" s="154"/>
      <c r="G234" s="46">
        <v>31093</v>
      </c>
      <c r="H234" s="133">
        <v>42050</v>
      </c>
      <c r="I234" s="3"/>
      <c r="J234" s="34" t="s">
        <v>745</v>
      </c>
      <c r="K234" s="40">
        <v>12667.799</v>
      </c>
      <c r="L234" s="21"/>
      <c r="M234" s="51">
        <v>-2147.5</v>
      </c>
      <c r="N234" s="27"/>
      <c r="O234" s="40">
        <f>K234+M234</f>
        <v>10520.299</v>
      </c>
      <c r="P234" s="21"/>
    </row>
    <row r="235" spans="3:16" ht="15.75" customHeight="1">
      <c r="C235" s="43" t="s">
        <v>691</v>
      </c>
      <c r="E235" s="48" t="s">
        <v>853</v>
      </c>
      <c r="F235" s="154"/>
      <c r="G235" s="46">
        <v>31274</v>
      </c>
      <c r="H235" s="133">
        <v>42231</v>
      </c>
      <c r="I235" s="3"/>
      <c r="J235" s="34" t="s">
        <v>792</v>
      </c>
      <c r="K235" s="40">
        <v>7149.916</v>
      </c>
      <c r="L235" s="21"/>
      <c r="M235" s="51">
        <v>-3126</v>
      </c>
      <c r="N235" s="27"/>
      <c r="O235" s="40">
        <f>K235+M235</f>
        <v>4023.916</v>
      </c>
      <c r="P235" s="21"/>
    </row>
    <row r="236" spans="3:16" ht="15.75" customHeight="1">
      <c r="C236" s="43" t="s">
        <v>692</v>
      </c>
      <c r="E236" s="48" t="s">
        <v>604</v>
      </c>
      <c r="F236" s="154"/>
      <c r="G236" s="46">
        <v>31380</v>
      </c>
      <c r="H236" s="133">
        <v>42323</v>
      </c>
      <c r="I236" s="3"/>
      <c r="J236" s="34" t="s">
        <v>807</v>
      </c>
      <c r="K236" s="40">
        <v>6899.859</v>
      </c>
      <c r="L236" s="21"/>
      <c r="M236" s="51">
        <v>-1315</v>
      </c>
      <c r="N236" s="27"/>
      <c r="O236" s="40">
        <f>K236+M236</f>
        <v>5584.859</v>
      </c>
      <c r="P236" s="21"/>
    </row>
    <row r="237" spans="3:16" ht="15.75" customHeight="1">
      <c r="C237" s="43" t="s">
        <v>693</v>
      </c>
      <c r="E237" s="48" t="s">
        <v>605</v>
      </c>
      <c r="F237" s="154"/>
      <c r="G237" s="46">
        <v>31461</v>
      </c>
      <c r="H237" s="133">
        <v>42415</v>
      </c>
      <c r="I237" s="3"/>
      <c r="J237" s="34" t="s">
        <v>745</v>
      </c>
      <c r="K237" s="40">
        <v>7266.854</v>
      </c>
      <c r="L237" s="21"/>
      <c r="M237" s="51">
        <v>-1835.1</v>
      </c>
      <c r="N237" s="27"/>
      <c r="O237" s="40">
        <f aca="true" t="shared" si="9" ref="O237:O263">K237+M237</f>
        <v>5431.754000000001</v>
      </c>
      <c r="P237" s="21"/>
    </row>
    <row r="238" spans="3:16" ht="15.75" customHeight="1">
      <c r="C238" s="43" t="s">
        <v>694</v>
      </c>
      <c r="E238" s="48" t="s">
        <v>835</v>
      </c>
      <c r="F238" s="154"/>
      <c r="G238" s="46">
        <v>31547</v>
      </c>
      <c r="H238" s="133">
        <v>42505</v>
      </c>
      <c r="I238" s="3"/>
      <c r="J238" s="34" t="s">
        <v>746</v>
      </c>
      <c r="K238" s="40">
        <v>18823.551</v>
      </c>
      <c r="L238" s="21"/>
      <c r="M238" s="47" t="s">
        <v>98</v>
      </c>
      <c r="N238" s="27"/>
      <c r="O238" s="40">
        <f t="shared" si="9"/>
        <v>18823.551</v>
      </c>
      <c r="P238" s="21"/>
    </row>
    <row r="239" spans="3:16" ht="15.75" customHeight="1">
      <c r="C239" s="43" t="s">
        <v>695</v>
      </c>
      <c r="E239" s="48" t="s">
        <v>823</v>
      </c>
      <c r="F239" s="154"/>
      <c r="G239" s="46">
        <v>31733</v>
      </c>
      <c r="H239" s="133">
        <v>42689</v>
      </c>
      <c r="I239" s="3"/>
      <c r="J239" s="34" t="s">
        <v>807</v>
      </c>
      <c r="K239" s="40">
        <v>18864.448</v>
      </c>
      <c r="L239" s="21"/>
      <c r="M239" s="51">
        <v>-77</v>
      </c>
      <c r="N239" s="27"/>
      <c r="O239" s="40">
        <f t="shared" si="9"/>
        <v>18787.448</v>
      </c>
      <c r="P239" s="21"/>
    </row>
    <row r="240" spans="3:16" ht="15.75" customHeight="1">
      <c r="C240" s="43" t="s">
        <v>696</v>
      </c>
      <c r="E240" s="48" t="s">
        <v>831</v>
      </c>
      <c r="F240" s="154"/>
      <c r="G240" s="46">
        <v>31912</v>
      </c>
      <c r="H240" s="133">
        <v>42870</v>
      </c>
      <c r="I240" s="3"/>
      <c r="J240" s="34" t="s">
        <v>746</v>
      </c>
      <c r="K240" s="40">
        <v>18194.169</v>
      </c>
      <c r="L240" s="21"/>
      <c r="M240" s="51">
        <v>-2635</v>
      </c>
      <c r="N240" s="27"/>
      <c r="O240" s="40">
        <f t="shared" si="9"/>
        <v>15559.169000000002</v>
      </c>
      <c r="P240" s="21"/>
    </row>
    <row r="241" spans="3:16" ht="15.75" customHeight="1">
      <c r="C241" s="43" t="s">
        <v>697</v>
      </c>
      <c r="E241" s="48" t="s">
        <v>115</v>
      </c>
      <c r="F241" s="154"/>
      <c r="G241" s="46">
        <v>32006</v>
      </c>
      <c r="H241" s="133">
        <v>42962</v>
      </c>
      <c r="I241" s="3"/>
      <c r="J241" s="34" t="s">
        <v>792</v>
      </c>
      <c r="K241" s="40">
        <v>14016.858</v>
      </c>
      <c r="L241" s="21"/>
      <c r="M241" s="51">
        <v>-3048.5</v>
      </c>
      <c r="N241" s="27"/>
      <c r="O241" s="40">
        <f t="shared" si="9"/>
        <v>10968.358</v>
      </c>
      <c r="P241" s="21"/>
    </row>
    <row r="242" spans="3:16" ht="15.75" customHeight="1">
      <c r="C242" s="43" t="s">
        <v>698</v>
      </c>
      <c r="E242" s="48" t="s">
        <v>806</v>
      </c>
      <c r="F242" s="154"/>
      <c r="G242" s="46">
        <v>32279</v>
      </c>
      <c r="H242" s="133">
        <v>43235</v>
      </c>
      <c r="I242" s="3"/>
      <c r="J242" s="34" t="s">
        <v>746</v>
      </c>
      <c r="K242" s="40">
        <v>8708.639</v>
      </c>
      <c r="L242" s="21"/>
      <c r="M242" s="51">
        <v>-1991.2</v>
      </c>
      <c r="N242" s="27"/>
      <c r="O242" s="40">
        <f t="shared" si="9"/>
        <v>6717.438999999999</v>
      </c>
      <c r="P242" s="21"/>
    </row>
    <row r="243" spans="3:16" ht="15.75" customHeight="1">
      <c r="C243" s="43" t="s">
        <v>699</v>
      </c>
      <c r="E243" s="48" t="s">
        <v>606</v>
      </c>
      <c r="F243" s="154"/>
      <c r="G243" s="46">
        <v>32469</v>
      </c>
      <c r="H243" s="133">
        <v>43419</v>
      </c>
      <c r="I243" s="3"/>
      <c r="J243" s="34" t="s">
        <v>807</v>
      </c>
      <c r="K243" s="40">
        <v>9032.87</v>
      </c>
      <c r="L243" s="21"/>
      <c r="M243" s="51">
        <v>-1858.4</v>
      </c>
      <c r="N243" s="27"/>
      <c r="O243" s="40">
        <f t="shared" si="9"/>
        <v>7174.470000000001</v>
      </c>
      <c r="P243" s="21"/>
    </row>
    <row r="244" spans="3:16" ht="15.75" customHeight="1">
      <c r="C244" s="43" t="s">
        <v>700</v>
      </c>
      <c r="E244" s="48" t="s">
        <v>115</v>
      </c>
      <c r="F244" s="154"/>
      <c r="G244" s="46">
        <v>32554</v>
      </c>
      <c r="H244" s="133">
        <v>43511</v>
      </c>
      <c r="I244" s="3"/>
      <c r="J244" s="34" t="s">
        <v>745</v>
      </c>
      <c r="K244" s="40">
        <v>19250.798</v>
      </c>
      <c r="L244" s="21"/>
      <c r="M244" s="51">
        <v>-6160.3</v>
      </c>
      <c r="N244" s="27"/>
      <c r="O244" s="40">
        <f t="shared" si="9"/>
        <v>13090.498</v>
      </c>
      <c r="P244" s="21"/>
    </row>
    <row r="245" spans="3:16" ht="15.75" customHeight="1">
      <c r="C245" s="43" t="s">
        <v>701</v>
      </c>
      <c r="E245" s="48" t="s">
        <v>610</v>
      </c>
      <c r="F245" s="154"/>
      <c r="G245" s="46">
        <v>32735</v>
      </c>
      <c r="H245" s="133">
        <v>43692</v>
      </c>
      <c r="I245" s="3"/>
      <c r="J245" s="34" t="s">
        <v>792</v>
      </c>
      <c r="K245" s="40">
        <v>20213.832</v>
      </c>
      <c r="L245" s="21"/>
      <c r="M245" s="51">
        <v>-1272.9</v>
      </c>
      <c r="N245" s="27"/>
      <c r="O245" s="40">
        <f t="shared" si="9"/>
        <v>18940.931999999997</v>
      </c>
      <c r="P245" s="21"/>
    </row>
    <row r="246" spans="3:16" ht="15.75" customHeight="1">
      <c r="C246" s="43" t="s">
        <v>702</v>
      </c>
      <c r="E246" s="48" t="s">
        <v>829</v>
      </c>
      <c r="F246" s="154"/>
      <c r="G246" s="46">
        <v>32919</v>
      </c>
      <c r="H246" s="133">
        <v>43876</v>
      </c>
      <c r="I246" s="3"/>
      <c r="J246" s="34" t="s">
        <v>745</v>
      </c>
      <c r="K246" s="40">
        <v>10228.868</v>
      </c>
      <c r="L246" s="21"/>
      <c r="M246" s="51">
        <v>-752.6</v>
      </c>
      <c r="N246" s="27"/>
      <c r="O246" s="40">
        <f t="shared" si="9"/>
        <v>9476.268</v>
      </c>
      <c r="P246" s="21"/>
    </row>
    <row r="247" spans="3:16" ht="15.75" customHeight="1">
      <c r="C247" s="43" t="s">
        <v>703</v>
      </c>
      <c r="E247" s="48" t="s">
        <v>831</v>
      </c>
      <c r="F247" s="154"/>
      <c r="G247" s="46">
        <v>33008</v>
      </c>
      <c r="H247" s="133">
        <v>43966</v>
      </c>
      <c r="I247" s="3"/>
      <c r="J247" s="34" t="s">
        <v>746</v>
      </c>
      <c r="K247" s="40">
        <v>10158.883</v>
      </c>
      <c r="L247" s="21"/>
      <c r="M247" s="51">
        <v>-2576.7</v>
      </c>
      <c r="N247" s="27"/>
      <c r="O247" s="40">
        <f t="shared" si="9"/>
        <v>7582.183</v>
      </c>
      <c r="P247" s="21"/>
    </row>
    <row r="248" spans="3:16" ht="15.75" customHeight="1">
      <c r="C248" s="43" t="s">
        <v>704</v>
      </c>
      <c r="E248" s="48" t="s">
        <v>831</v>
      </c>
      <c r="F248" s="154"/>
      <c r="G248" s="46">
        <v>33100</v>
      </c>
      <c r="H248" s="133">
        <v>44058</v>
      </c>
      <c r="I248" s="3"/>
      <c r="J248" s="34" t="s">
        <v>792</v>
      </c>
      <c r="K248" s="40">
        <v>21418.606</v>
      </c>
      <c r="L248" s="21"/>
      <c r="M248" s="51">
        <v>-4359.3</v>
      </c>
      <c r="N248" s="27"/>
      <c r="O248" s="40">
        <f t="shared" si="9"/>
        <v>17059.306</v>
      </c>
      <c r="P248" s="21"/>
    </row>
    <row r="249" spans="3:16" ht="15.75" customHeight="1">
      <c r="C249" s="43" t="s">
        <v>705</v>
      </c>
      <c r="E249" s="48" t="s">
        <v>826</v>
      </c>
      <c r="F249" s="154"/>
      <c r="G249" s="46">
        <v>33284</v>
      </c>
      <c r="H249" s="133">
        <v>44242</v>
      </c>
      <c r="I249" s="3"/>
      <c r="J249" s="34" t="s">
        <v>745</v>
      </c>
      <c r="K249" s="40">
        <v>11113.373</v>
      </c>
      <c r="L249" s="21"/>
      <c r="M249" s="51">
        <v>-1037.8</v>
      </c>
      <c r="N249" s="27"/>
      <c r="O249" s="40">
        <f t="shared" si="9"/>
        <v>10075.573</v>
      </c>
      <c r="P249" s="21"/>
    </row>
    <row r="250" spans="3:16" ht="15.75" customHeight="1">
      <c r="C250" s="43" t="s">
        <v>706</v>
      </c>
      <c r="E250" s="48" t="s">
        <v>610</v>
      </c>
      <c r="F250" s="154"/>
      <c r="G250" s="46">
        <v>33373</v>
      </c>
      <c r="H250" s="133">
        <v>44331</v>
      </c>
      <c r="I250" s="3"/>
      <c r="J250" s="34" t="s">
        <v>746</v>
      </c>
      <c r="K250" s="40">
        <v>11958.888</v>
      </c>
      <c r="L250" s="21"/>
      <c r="M250" s="51">
        <v>-1892.1</v>
      </c>
      <c r="N250" s="27"/>
      <c r="O250" s="40">
        <f t="shared" si="9"/>
        <v>10066.788</v>
      </c>
      <c r="P250" s="21"/>
    </row>
    <row r="251" spans="3:16" ht="15.75" customHeight="1">
      <c r="C251" s="43" t="s">
        <v>707</v>
      </c>
      <c r="E251" s="48" t="s">
        <v>610</v>
      </c>
      <c r="F251" s="154"/>
      <c r="G251" s="46">
        <v>33465</v>
      </c>
      <c r="H251" s="133">
        <v>44423</v>
      </c>
      <c r="I251" s="3"/>
      <c r="J251" s="34" t="s">
        <v>792</v>
      </c>
      <c r="K251" s="40">
        <v>12163.482</v>
      </c>
      <c r="L251" s="21"/>
      <c r="M251" s="51">
        <v>-2657.1</v>
      </c>
      <c r="N251" s="27"/>
      <c r="O251" s="40">
        <f t="shared" si="9"/>
        <v>9506.382</v>
      </c>
      <c r="P251" s="21"/>
    </row>
    <row r="252" spans="3:16" ht="15.75" customHeight="1">
      <c r="C252" s="43" t="s">
        <v>708</v>
      </c>
      <c r="E252" s="48">
        <v>8</v>
      </c>
      <c r="F252" s="154"/>
      <c r="G252" s="46">
        <v>33557</v>
      </c>
      <c r="H252" s="133">
        <v>44515</v>
      </c>
      <c r="I252" s="3"/>
      <c r="J252" s="34" t="s">
        <v>807</v>
      </c>
      <c r="K252" s="40">
        <v>32798.394</v>
      </c>
      <c r="L252" s="21"/>
      <c r="M252" s="51">
        <v>-2166.2</v>
      </c>
      <c r="N252" s="27"/>
      <c r="O252" s="40">
        <f t="shared" si="9"/>
        <v>30632.194</v>
      </c>
      <c r="P252" s="21"/>
    </row>
    <row r="253" spans="3:16" ht="15.75" customHeight="1">
      <c r="C253" s="43" t="s">
        <v>709</v>
      </c>
      <c r="E253" s="48" t="s">
        <v>835</v>
      </c>
      <c r="F253" s="154"/>
      <c r="G253" s="46">
        <v>33833</v>
      </c>
      <c r="H253" s="133">
        <v>44788</v>
      </c>
      <c r="I253" s="3"/>
      <c r="J253" s="34" t="s">
        <v>792</v>
      </c>
      <c r="K253" s="40">
        <v>10352.79</v>
      </c>
      <c r="L253" s="21"/>
      <c r="M253" s="51">
        <v>-225</v>
      </c>
      <c r="N253" s="27"/>
      <c r="O253" s="40">
        <f t="shared" si="9"/>
        <v>10127.79</v>
      </c>
      <c r="P253" s="21"/>
    </row>
    <row r="254" spans="3:16" ht="15.75" customHeight="1">
      <c r="C254" s="43" t="s">
        <v>710</v>
      </c>
      <c r="E254" s="48" t="s">
        <v>838</v>
      </c>
      <c r="F254" s="154"/>
      <c r="G254" s="46">
        <v>33924</v>
      </c>
      <c r="H254" s="133">
        <v>44880</v>
      </c>
      <c r="I254" s="3"/>
      <c r="J254" s="34" t="s">
        <v>807</v>
      </c>
      <c r="K254" s="40">
        <v>10699.626</v>
      </c>
      <c r="L254" s="21"/>
      <c r="M254" s="51">
        <v>-3276</v>
      </c>
      <c r="N254" s="27"/>
      <c r="O254" s="40">
        <f t="shared" si="9"/>
        <v>7423.626</v>
      </c>
      <c r="P254" s="21"/>
    </row>
    <row r="255" spans="3:16" ht="15.75" customHeight="1">
      <c r="C255" s="43" t="s">
        <v>711</v>
      </c>
      <c r="E255" s="48" t="s">
        <v>820</v>
      </c>
      <c r="F255" s="154"/>
      <c r="G255" s="46">
        <v>34016</v>
      </c>
      <c r="H255" s="133">
        <v>44972</v>
      </c>
      <c r="I255" s="3"/>
      <c r="J255" s="34" t="s">
        <v>745</v>
      </c>
      <c r="K255" s="40">
        <v>18374.361</v>
      </c>
      <c r="L255" s="21"/>
      <c r="M255" s="51">
        <v>-2592.3</v>
      </c>
      <c r="N255" s="27"/>
      <c r="O255" s="40">
        <f t="shared" si="9"/>
        <v>15782.061000000002</v>
      </c>
      <c r="P255" s="21"/>
    </row>
    <row r="256" spans="3:16" ht="15.75" customHeight="1">
      <c r="C256" s="43" t="s">
        <v>712</v>
      </c>
      <c r="E256" s="48" t="s">
        <v>798</v>
      </c>
      <c r="F256" s="154"/>
      <c r="G256" s="46">
        <v>34197</v>
      </c>
      <c r="H256" s="133">
        <v>45153</v>
      </c>
      <c r="I256" s="3"/>
      <c r="J256" s="34" t="s">
        <v>792</v>
      </c>
      <c r="K256" s="40">
        <v>22909.044</v>
      </c>
      <c r="L256" s="21"/>
      <c r="M256" s="51">
        <v>-250</v>
      </c>
      <c r="N256" s="27"/>
      <c r="O256" s="40">
        <f t="shared" si="9"/>
        <v>22659.044</v>
      </c>
      <c r="P256" s="21"/>
    </row>
    <row r="257" spans="3:16" ht="15.75" customHeight="1">
      <c r="C257" s="43" t="s">
        <v>713</v>
      </c>
      <c r="E257" s="48" t="s">
        <v>823</v>
      </c>
      <c r="F257" s="154"/>
      <c r="G257" s="46">
        <v>34561</v>
      </c>
      <c r="H257" s="133">
        <v>45611</v>
      </c>
      <c r="I257" s="3"/>
      <c r="J257" s="34" t="s">
        <v>746</v>
      </c>
      <c r="K257" s="40">
        <v>11469.662</v>
      </c>
      <c r="L257" s="21"/>
      <c r="M257" s="51">
        <v>-1865.5</v>
      </c>
      <c r="N257" s="27"/>
      <c r="O257" s="40">
        <f t="shared" si="9"/>
        <v>9604.162</v>
      </c>
      <c r="P257" s="21"/>
    </row>
    <row r="258" spans="3:16" ht="15.75" customHeight="1">
      <c r="C258" s="43" t="s">
        <v>714</v>
      </c>
      <c r="E258" s="48" t="s">
        <v>838</v>
      </c>
      <c r="F258" s="154"/>
      <c r="G258" s="46">
        <v>34745</v>
      </c>
      <c r="H258" s="133">
        <v>45703</v>
      </c>
      <c r="I258" s="3"/>
      <c r="J258" s="34" t="s">
        <v>745</v>
      </c>
      <c r="K258" s="40">
        <v>11725.17</v>
      </c>
      <c r="L258" s="21"/>
      <c r="M258" s="51">
        <v>-2216</v>
      </c>
      <c r="N258" s="27"/>
      <c r="O258" s="40">
        <f t="shared" si="9"/>
        <v>9509.17</v>
      </c>
      <c r="P258" s="21"/>
    </row>
    <row r="259" spans="3:16" ht="15.75" customHeight="1">
      <c r="C259" s="43" t="s">
        <v>715</v>
      </c>
      <c r="E259" s="48" t="s">
        <v>815</v>
      </c>
      <c r="F259" s="154"/>
      <c r="G259" s="46">
        <v>34926</v>
      </c>
      <c r="H259" s="133">
        <v>45884</v>
      </c>
      <c r="I259" s="3"/>
      <c r="J259" s="34" t="s">
        <v>792</v>
      </c>
      <c r="K259" s="40">
        <v>12602.007</v>
      </c>
      <c r="L259" s="21"/>
      <c r="M259" s="51">
        <v>-1414.8</v>
      </c>
      <c r="N259" s="27"/>
      <c r="O259" s="40">
        <f t="shared" si="9"/>
        <v>11187.207</v>
      </c>
      <c r="P259" s="21"/>
    </row>
    <row r="260" spans="3:16" ht="15.75" customHeight="1">
      <c r="C260" s="43" t="s">
        <v>716</v>
      </c>
      <c r="E260" s="48" t="s">
        <v>812</v>
      </c>
      <c r="F260" s="154"/>
      <c r="G260" s="46">
        <v>35110</v>
      </c>
      <c r="H260" s="133">
        <v>46068</v>
      </c>
      <c r="I260" s="3"/>
      <c r="J260" s="34" t="s">
        <v>745</v>
      </c>
      <c r="K260" s="40">
        <v>12904.916</v>
      </c>
      <c r="L260" s="21"/>
      <c r="M260" s="51">
        <v>-67</v>
      </c>
      <c r="N260" s="27"/>
      <c r="O260" s="40">
        <f t="shared" si="9"/>
        <v>12837.916</v>
      </c>
      <c r="P260" s="21"/>
    </row>
    <row r="261" spans="3:16" ht="15.75" customHeight="1">
      <c r="C261" s="43" t="s">
        <v>717</v>
      </c>
      <c r="E261" s="48" t="s">
        <v>809</v>
      </c>
      <c r="F261" s="154"/>
      <c r="G261" s="90">
        <v>35292</v>
      </c>
      <c r="H261" s="134">
        <v>46249</v>
      </c>
      <c r="I261" s="3"/>
      <c r="J261" s="34" t="s">
        <v>792</v>
      </c>
      <c r="K261" s="40">
        <v>10893.818</v>
      </c>
      <c r="L261" s="21"/>
      <c r="M261" s="51">
        <v>-2083.4</v>
      </c>
      <c r="N261" s="27"/>
      <c r="O261" s="40">
        <f t="shared" si="9"/>
        <v>8810.418</v>
      </c>
      <c r="P261" s="21"/>
    </row>
    <row r="262" spans="3:16" ht="15.75" customHeight="1">
      <c r="C262" s="43" t="s">
        <v>1166</v>
      </c>
      <c r="E262" s="48" t="s">
        <v>803</v>
      </c>
      <c r="F262" s="154"/>
      <c r="G262" s="90">
        <v>35384</v>
      </c>
      <c r="H262" s="134">
        <v>46341</v>
      </c>
      <c r="I262" s="3"/>
      <c r="J262" s="34" t="s">
        <v>807</v>
      </c>
      <c r="K262" s="40">
        <v>11493.177</v>
      </c>
      <c r="L262" s="21"/>
      <c r="M262" s="51">
        <v>-633</v>
      </c>
      <c r="N262" s="27"/>
      <c r="O262" s="40">
        <f t="shared" si="9"/>
        <v>10860.177</v>
      </c>
      <c r="P262" s="21"/>
    </row>
    <row r="263" spans="3:16" ht="15.75" customHeight="1">
      <c r="C263" s="43" t="s">
        <v>1192</v>
      </c>
      <c r="E263" s="48" t="s">
        <v>833</v>
      </c>
      <c r="F263" s="154"/>
      <c r="G263" s="90">
        <v>35479</v>
      </c>
      <c r="H263" s="134">
        <v>46433</v>
      </c>
      <c r="I263" s="3"/>
      <c r="J263" s="34" t="s">
        <v>745</v>
      </c>
      <c r="K263" s="40">
        <v>10456.071</v>
      </c>
      <c r="L263" s="21"/>
      <c r="M263" s="51">
        <v>-934.1</v>
      </c>
      <c r="N263" s="27"/>
      <c r="O263" s="40">
        <f t="shared" si="9"/>
        <v>9521.971</v>
      </c>
      <c r="P263" s="21"/>
    </row>
    <row r="264" spans="3:16" ht="15.75" customHeight="1">
      <c r="C264" s="43" t="s">
        <v>755</v>
      </c>
      <c r="E264" s="48" t="s">
        <v>109</v>
      </c>
      <c r="F264" s="154"/>
      <c r="G264" s="90">
        <v>35657</v>
      </c>
      <c r="H264" s="134">
        <v>46614</v>
      </c>
      <c r="I264" s="3"/>
      <c r="J264" s="34" t="s">
        <v>792</v>
      </c>
      <c r="K264" s="40">
        <v>10735.756</v>
      </c>
      <c r="L264" s="21"/>
      <c r="M264" s="51">
        <v>-1539</v>
      </c>
      <c r="N264" s="27"/>
      <c r="O264" s="40">
        <f aca="true" t="shared" si="10" ref="O264:O273">K264+M264</f>
        <v>9196.756</v>
      </c>
      <c r="P264" s="21"/>
    </row>
    <row r="265" spans="3:16" ht="14.25" customHeight="1">
      <c r="C265" s="43" t="s">
        <v>988</v>
      </c>
      <c r="E265" s="48" t="s">
        <v>830</v>
      </c>
      <c r="F265" s="154"/>
      <c r="G265" s="90">
        <v>35751</v>
      </c>
      <c r="H265" s="134">
        <v>46706</v>
      </c>
      <c r="I265" s="3"/>
      <c r="J265" s="34" t="s">
        <v>807</v>
      </c>
      <c r="K265" s="40">
        <v>22518.539</v>
      </c>
      <c r="L265" s="21"/>
      <c r="M265" s="51">
        <v>-497.2</v>
      </c>
      <c r="N265" s="27"/>
      <c r="O265" s="40">
        <f t="shared" si="10"/>
        <v>22021.339</v>
      </c>
      <c r="P265" s="21"/>
    </row>
    <row r="266" spans="3:16" ht="15.75" customHeight="1">
      <c r="C266" s="43" t="s">
        <v>721</v>
      </c>
      <c r="E266" s="89" t="s">
        <v>794</v>
      </c>
      <c r="F266" s="154"/>
      <c r="G266" s="90">
        <v>36024</v>
      </c>
      <c r="H266" s="134">
        <v>46980</v>
      </c>
      <c r="I266" s="3"/>
      <c r="J266" s="34" t="s">
        <v>792</v>
      </c>
      <c r="K266" s="40">
        <v>11776.201</v>
      </c>
      <c r="L266" s="21"/>
      <c r="M266" s="47" t="s">
        <v>98</v>
      </c>
      <c r="N266" s="27"/>
      <c r="O266" s="40">
        <f t="shared" si="10"/>
        <v>11776.201</v>
      </c>
      <c r="P266" s="21"/>
    </row>
    <row r="267" spans="3:16" ht="16.5" customHeight="1">
      <c r="C267" s="43" t="s">
        <v>74</v>
      </c>
      <c r="E267" s="89" t="s">
        <v>832</v>
      </c>
      <c r="F267" s="154"/>
      <c r="G267" s="90">
        <v>36115</v>
      </c>
      <c r="H267" s="134">
        <v>47072</v>
      </c>
      <c r="I267" s="3"/>
      <c r="J267" s="34" t="s">
        <v>807</v>
      </c>
      <c r="K267" s="40">
        <v>10947.052</v>
      </c>
      <c r="L267" s="21"/>
      <c r="M267" s="47" t="s">
        <v>98</v>
      </c>
      <c r="N267" s="27"/>
      <c r="O267" s="40">
        <f t="shared" si="10"/>
        <v>10947.052</v>
      </c>
      <c r="P267" s="21"/>
    </row>
    <row r="268" spans="3:16" ht="15.75" customHeight="1">
      <c r="C268" s="43" t="s">
        <v>987</v>
      </c>
      <c r="E268" s="89" t="s">
        <v>832</v>
      </c>
      <c r="F268" s="154"/>
      <c r="G268" s="90">
        <v>36207</v>
      </c>
      <c r="H268" s="134">
        <v>47164</v>
      </c>
      <c r="I268" s="3"/>
      <c r="J268" s="34" t="s">
        <v>745</v>
      </c>
      <c r="K268" s="40">
        <v>11350.341</v>
      </c>
      <c r="L268" s="21"/>
      <c r="M268" s="47" t="s">
        <v>98</v>
      </c>
      <c r="N268" s="27"/>
      <c r="O268" s="40">
        <f t="shared" si="10"/>
        <v>11350.341</v>
      </c>
      <c r="P268" s="41"/>
    </row>
    <row r="269" spans="3:16" ht="15.75" customHeight="1">
      <c r="C269" s="43" t="s">
        <v>724</v>
      </c>
      <c r="E269" s="48" t="s">
        <v>830</v>
      </c>
      <c r="F269" s="154"/>
      <c r="G269" s="90">
        <v>36388</v>
      </c>
      <c r="H269" s="134">
        <v>47345</v>
      </c>
      <c r="I269" s="3"/>
      <c r="J269" s="34" t="s">
        <v>792</v>
      </c>
      <c r="K269" s="40">
        <v>11178.58</v>
      </c>
      <c r="L269" s="21"/>
      <c r="M269" s="47" t="s">
        <v>98</v>
      </c>
      <c r="N269" s="27"/>
      <c r="O269" s="40">
        <f t="shared" si="10"/>
        <v>11178.58</v>
      </c>
      <c r="P269" s="21"/>
    </row>
    <row r="270" spans="3:16" ht="15.75" customHeight="1">
      <c r="C270" s="88" t="s">
        <v>725</v>
      </c>
      <c r="E270" s="48" t="s">
        <v>798</v>
      </c>
      <c r="F270" s="154"/>
      <c r="G270" s="90">
        <v>36571</v>
      </c>
      <c r="H270" s="134">
        <v>47618</v>
      </c>
      <c r="I270" s="3"/>
      <c r="J270" s="34" t="s">
        <v>807</v>
      </c>
      <c r="K270" s="40">
        <v>17043.162</v>
      </c>
      <c r="L270" s="21"/>
      <c r="M270" s="47" t="s">
        <v>98</v>
      </c>
      <c r="N270" s="27"/>
      <c r="O270" s="40">
        <f t="shared" si="10"/>
        <v>17043.162</v>
      </c>
      <c r="P270" s="21"/>
    </row>
    <row r="271" spans="3:16" ht="15.75" customHeight="1">
      <c r="C271" s="88" t="s">
        <v>764</v>
      </c>
      <c r="E271" s="89" t="s">
        <v>828</v>
      </c>
      <c r="F271" s="154"/>
      <c r="G271" s="90">
        <v>36937</v>
      </c>
      <c r="H271" s="134">
        <v>47894</v>
      </c>
      <c r="I271" s="3"/>
      <c r="J271" s="34" t="s">
        <v>745</v>
      </c>
      <c r="K271" s="40">
        <v>16427.648</v>
      </c>
      <c r="L271" s="21"/>
      <c r="M271" s="47" t="s">
        <v>98</v>
      </c>
      <c r="N271" s="27"/>
      <c r="O271" s="40">
        <f t="shared" si="10"/>
        <v>16427.648</v>
      </c>
      <c r="P271" s="21"/>
    </row>
    <row r="272" spans="2:16" ht="15.75" customHeight="1">
      <c r="B272" s="9" t="s">
        <v>727</v>
      </c>
      <c r="F272" s="43"/>
      <c r="G272" s="16" t="s">
        <v>99</v>
      </c>
      <c r="H272" s="46" t="s">
        <v>99</v>
      </c>
      <c r="I272" s="3"/>
      <c r="J272" s="34" t="s">
        <v>99</v>
      </c>
      <c r="K272" s="56">
        <f>SUM(K193:K271)</f>
        <v>631746.621</v>
      </c>
      <c r="L272" s="212"/>
      <c r="M272" s="56">
        <f>SUM(M193:M271)</f>
        <v>-67406.3</v>
      </c>
      <c r="N272" s="212"/>
      <c r="O272" s="56">
        <f t="shared" si="10"/>
        <v>564340.321</v>
      </c>
      <c r="P272" s="212"/>
    </row>
    <row r="273" spans="2:16" ht="15.75" customHeight="1">
      <c r="B273" t="s">
        <v>728</v>
      </c>
      <c r="F273" s="43"/>
      <c r="G273" s="16" t="s">
        <v>99</v>
      </c>
      <c r="H273" s="46" t="s">
        <v>99</v>
      </c>
      <c r="I273" s="3"/>
      <c r="J273" s="34" t="s">
        <v>99</v>
      </c>
      <c r="K273" s="56">
        <v>62.426</v>
      </c>
      <c r="L273" s="21"/>
      <c r="M273" s="47" t="s">
        <v>98</v>
      </c>
      <c r="N273" s="27"/>
      <c r="O273" s="40">
        <f t="shared" si="10"/>
        <v>62.426</v>
      </c>
      <c r="P273" s="21"/>
    </row>
    <row r="274" spans="2:16" ht="15.75" customHeight="1" thickBot="1">
      <c r="B274" s="75" t="s">
        <v>18</v>
      </c>
      <c r="F274" s="43"/>
      <c r="G274" s="16" t="s">
        <v>99</v>
      </c>
      <c r="H274" s="46" t="s">
        <v>99</v>
      </c>
      <c r="I274" s="3"/>
      <c r="J274" s="34" t="s">
        <v>99</v>
      </c>
      <c r="K274" s="218">
        <f>+K272+K273</f>
        <v>631809.047</v>
      </c>
      <c r="L274" s="219"/>
      <c r="M274" s="218">
        <f>+M272+M273</f>
        <v>-67406.3</v>
      </c>
      <c r="N274" s="219"/>
      <c r="O274" s="218">
        <f>+K274+M274</f>
        <v>564402.747</v>
      </c>
      <c r="P274" s="219"/>
    </row>
    <row r="275" spans="2:16" ht="15.75" customHeight="1" thickTop="1">
      <c r="B275" s="75"/>
      <c r="F275" s="43"/>
      <c r="G275" s="97"/>
      <c r="H275" s="185"/>
      <c r="I275" s="3"/>
      <c r="J275" s="131"/>
      <c r="K275" s="268"/>
      <c r="L275" s="268"/>
      <c r="M275" s="268"/>
      <c r="N275" s="268"/>
      <c r="O275" s="268"/>
      <c r="P275" s="268"/>
    </row>
    <row r="276" spans="2:16" ht="15.75" customHeight="1">
      <c r="B276" s="75"/>
      <c r="F276" s="43"/>
      <c r="G276" s="97"/>
      <c r="H276" s="185"/>
      <c r="I276" s="3"/>
      <c r="J276" s="131"/>
      <c r="K276" s="268"/>
      <c r="L276" s="268"/>
      <c r="M276" s="268"/>
      <c r="N276" s="268"/>
      <c r="O276" s="268"/>
      <c r="P276" s="268"/>
    </row>
    <row r="277" spans="2:16" ht="15.75" customHeight="1">
      <c r="B277" s="75"/>
      <c r="F277" s="43"/>
      <c r="G277" s="97"/>
      <c r="H277" s="185"/>
      <c r="I277" s="3"/>
      <c r="J277" s="131"/>
      <c r="K277" s="268"/>
      <c r="L277" s="268"/>
      <c r="M277" s="268"/>
      <c r="N277" s="268"/>
      <c r="O277" s="268"/>
      <c r="P277" s="268"/>
    </row>
    <row r="278" spans="2:16" ht="15.75" customHeight="1">
      <c r="B278" s="75"/>
      <c r="F278" s="43"/>
      <c r="G278" s="97"/>
      <c r="H278" s="185"/>
      <c r="I278" s="3"/>
      <c r="J278" s="131"/>
      <c r="K278" s="268"/>
      <c r="L278" s="268"/>
      <c r="M278" s="268"/>
      <c r="N278" s="268"/>
      <c r="O278" s="268"/>
      <c r="P278" s="268"/>
    </row>
    <row r="279" spans="2:16" ht="15.75" customHeight="1">
      <c r="B279" s="75"/>
      <c r="F279" s="43"/>
      <c r="G279" s="97"/>
      <c r="H279" s="185"/>
      <c r="I279" s="3"/>
      <c r="J279" s="131"/>
      <c r="K279" s="268"/>
      <c r="L279" s="268"/>
      <c r="M279" s="268"/>
      <c r="N279" s="268"/>
      <c r="O279" s="268"/>
      <c r="P279" s="268"/>
    </row>
    <row r="280" spans="2:16" ht="15.75" customHeight="1">
      <c r="B280" s="75"/>
      <c r="F280" s="43"/>
      <c r="G280" s="97"/>
      <c r="H280" s="185"/>
      <c r="I280" s="3"/>
      <c r="J280" s="131"/>
      <c r="K280" s="268"/>
      <c r="L280" s="268"/>
      <c r="M280" s="268"/>
      <c r="N280" s="268"/>
      <c r="O280" s="268"/>
      <c r="P280" s="268"/>
    </row>
    <row r="281" spans="2:16" ht="15.75" customHeight="1">
      <c r="B281" s="75"/>
      <c r="F281" s="43"/>
      <c r="G281" s="97"/>
      <c r="H281" s="185"/>
      <c r="I281" s="3"/>
      <c r="J281" s="131"/>
      <c r="K281" s="268"/>
      <c r="L281" s="268"/>
      <c r="M281" s="268"/>
      <c r="N281" s="268"/>
      <c r="O281" s="268"/>
      <c r="P281" s="268"/>
    </row>
    <row r="282" spans="2:16" ht="15.75" customHeight="1">
      <c r="B282" s="75"/>
      <c r="F282" s="43"/>
      <c r="G282" s="97"/>
      <c r="H282" s="185"/>
      <c r="I282" s="3"/>
      <c r="J282" s="131"/>
      <c r="K282" s="268"/>
      <c r="L282" s="268"/>
      <c r="M282" s="268"/>
      <c r="N282" s="268"/>
      <c r="O282" s="268"/>
      <c r="P282" s="268"/>
    </row>
    <row r="283" spans="2:16" ht="15.75" customHeight="1">
      <c r="B283" s="75"/>
      <c r="F283" s="43"/>
      <c r="G283" s="97"/>
      <c r="H283" s="185"/>
      <c r="I283" s="3"/>
      <c r="J283" s="131"/>
      <c r="K283" s="268"/>
      <c r="L283" s="268"/>
      <c r="M283" s="268"/>
      <c r="N283" s="268"/>
      <c r="O283" s="268"/>
      <c r="P283" s="268"/>
    </row>
    <row r="284" spans="2:16" ht="15.75" customHeight="1">
      <c r="B284" s="75"/>
      <c r="F284" s="43"/>
      <c r="G284" s="97"/>
      <c r="H284" s="185"/>
      <c r="I284" s="3"/>
      <c r="J284" s="131"/>
      <c r="K284" s="268"/>
      <c r="L284" s="268"/>
      <c r="M284" s="268"/>
      <c r="N284" s="268"/>
      <c r="O284" s="268"/>
      <c r="P284" s="268"/>
    </row>
    <row r="285" spans="2:16" ht="15.75" customHeight="1">
      <c r="B285" s="75"/>
      <c r="F285" s="43"/>
      <c r="G285" s="97"/>
      <c r="H285" s="185"/>
      <c r="I285" s="3"/>
      <c r="J285" s="131"/>
      <c r="K285" s="268"/>
      <c r="L285" s="268"/>
      <c r="M285" s="268"/>
      <c r="N285" s="268"/>
      <c r="O285" s="268"/>
      <c r="P285" s="268"/>
    </row>
    <row r="286" spans="2:16" ht="15.75" customHeight="1">
      <c r="B286" s="75"/>
      <c r="F286" s="43"/>
      <c r="G286" s="97"/>
      <c r="H286" s="185"/>
      <c r="I286" s="3"/>
      <c r="J286" s="131"/>
      <c r="K286" s="268"/>
      <c r="L286" s="268"/>
      <c r="M286" s="268"/>
      <c r="N286" s="268"/>
      <c r="O286" s="268"/>
      <c r="P286" s="268"/>
    </row>
    <row r="287" spans="2:16" ht="15.75" customHeight="1">
      <c r="B287" s="75"/>
      <c r="F287" s="43"/>
      <c r="G287" s="97"/>
      <c r="H287" s="185"/>
      <c r="I287" s="3"/>
      <c r="J287" s="131"/>
      <c r="K287" s="268"/>
      <c r="L287" s="268"/>
      <c r="M287" s="268"/>
      <c r="N287" s="268"/>
      <c r="O287" s="268"/>
      <c r="P287" s="268"/>
    </row>
    <row r="288" spans="2:16" ht="15.75" customHeight="1">
      <c r="B288" s="75"/>
      <c r="F288" s="43"/>
      <c r="G288" s="97"/>
      <c r="H288" s="185"/>
      <c r="I288" s="3"/>
      <c r="J288" s="131"/>
      <c r="K288" s="268"/>
      <c r="L288" s="268"/>
      <c r="M288" s="268"/>
      <c r="N288" s="268"/>
      <c r="O288" s="268"/>
      <c r="P288" s="268"/>
    </row>
    <row r="289" spans="1:16" ht="15.75" customHeight="1" thickBot="1">
      <c r="A289" s="100"/>
      <c r="B289" s="100"/>
      <c r="C289" s="129"/>
      <c r="D289" s="100"/>
      <c r="E289" s="101"/>
      <c r="F289" s="170"/>
      <c r="G289" s="383"/>
      <c r="H289" s="384"/>
      <c r="I289" s="130"/>
      <c r="J289" s="101"/>
      <c r="K289" s="103"/>
      <c r="L289" s="103"/>
      <c r="M289" s="169"/>
      <c r="N289" s="104"/>
      <c r="O289" s="103"/>
      <c r="P289" s="103"/>
    </row>
    <row r="290" spans="1:16" ht="16.5" thickTop="1">
      <c r="A290" s="94"/>
      <c r="B290" s="2" t="str">
        <f>B95</f>
        <v>TABLE III - DETAIL OF TREASURY SECURITIES OUTSTANDING, MARCH 31, 2004 -- Continued</v>
      </c>
      <c r="C290" s="2"/>
      <c r="D290" s="3"/>
      <c r="E290" s="3"/>
      <c r="F290" s="3"/>
      <c r="G290" s="3"/>
      <c r="H290" s="3"/>
      <c r="I290" s="29"/>
      <c r="J290" s="3"/>
      <c r="K290" s="3"/>
      <c r="L290" s="3"/>
      <c r="M290" s="3"/>
      <c r="N290" s="3"/>
      <c r="O290" s="3"/>
      <c r="P290" s="95">
        <v>5</v>
      </c>
    </row>
    <row r="291" spans="1:16" ht="10.5" customHeight="1" thickBot="1">
      <c r="A291" s="2"/>
      <c r="B291" s="2"/>
      <c r="C291" s="2"/>
      <c r="D291" s="3"/>
      <c r="E291" s="3"/>
      <c r="F291" s="3"/>
      <c r="G291" s="3"/>
      <c r="H291" s="3"/>
      <c r="I291" s="29"/>
      <c r="K291" s="3"/>
      <c r="L291" s="3"/>
      <c r="M291" s="3"/>
      <c r="N291" s="3"/>
      <c r="O291" s="3"/>
      <c r="P291" s="2"/>
    </row>
    <row r="292" spans="1:16" ht="15.75" thickTop="1">
      <c r="A292" s="32"/>
      <c r="B292" s="32"/>
      <c r="C292" s="32"/>
      <c r="D292" s="32"/>
      <c r="E292" s="32"/>
      <c r="F292" s="32"/>
      <c r="G292" s="26"/>
      <c r="H292" s="26"/>
      <c r="I292" s="33"/>
      <c r="J292" s="67"/>
      <c r="K292" s="26"/>
      <c r="L292" s="32"/>
      <c r="M292" s="32"/>
      <c r="N292" s="32"/>
      <c r="O292" s="32"/>
      <c r="P292" s="32"/>
    </row>
    <row r="293" spans="7:16" ht="15.75" customHeight="1">
      <c r="G293" s="16" t="s">
        <v>334</v>
      </c>
      <c r="H293" s="16" t="s">
        <v>335</v>
      </c>
      <c r="I293" s="29"/>
      <c r="J293" s="34" t="s">
        <v>336</v>
      </c>
      <c r="K293" s="16" t="s">
        <v>337</v>
      </c>
      <c r="L293" s="3"/>
      <c r="M293" s="3"/>
      <c r="N293" s="3"/>
      <c r="O293" s="3"/>
      <c r="P293" s="3"/>
    </row>
    <row r="294" spans="1:11" ht="15.75" customHeight="1">
      <c r="A294" s="3" t="s">
        <v>338</v>
      </c>
      <c r="B294" s="3"/>
      <c r="C294" s="3"/>
      <c r="D294" s="3"/>
      <c r="E294" s="3"/>
      <c r="F294" s="3"/>
      <c r="G294" s="16" t="s">
        <v>339</v>
      </c>
      <c r="H294" s="16" t="s">
        <v>340</v>
      </c>
      <c r="I294" s="29"/>
      <c r="J294" s="34" t="s">
        <v>341</v>
      </c>
      <c r="K294" s="14"/>
    </row>
    <row r="295" spans="1:16" ht="16.5" customHeight="1">
      <c r="A295" s="15"/>
      <c r="B295" s="15"/>
      <c r="C295" s="15"/>
      <c r="D295" s="15"/>
      <c r="E295" s="15"/>
      <c r="F295" s="15"/>
      <c r="G295" s="35"/>
      <c r="H295" s="35"/>
      <c r="I295" s="36"/>
      <c r="J295" s="61"/>
      <c r="K295" s="37" t="s">
        <v>342</v>
      </c>
      <c r="L295" s="38"/>
      <c r="M295" s="37" t="s">
        <v>93</v>
      </c>
      <c r="N295" s="38"/>
      <c r="O295" s="37" t="s">
        <v>1007</v>
      </c>
      <c r="P295" s="38"/>
    </row>
    <row r="296" spans="1:16" ht="15.75" customHeight="1">
      <c r="A296" s="63"/>
      <c r="B296" s="63"/>
      <c r="C296" s="63"/>
      <c r="D296" s="63"/>
      <c r="E296" s="63"/>
      <c r="F296" s="63"/>
      <c r="G296" s="14"/>
      <c r="H296" s="14"/>
      <c r="I296" s="96"/>
      <c r="J296" s="34"/>
      <c r="K296" s="16"/>
      <c r="L296" s="97"/>
      <c r="M296" s="16"/>
      <c r="N296" s="97"/>
      <c r="O296" s="16"/>
      <c r="P296" s="97"/>
    </row>
    <row r="297" spans="1:16" ht="18" customHeight="1">
      <c r="A297" s="60" t="s">
        <v>582</v>
      </c>
      <c r="B297" s="60"/>
      <c r="F297" s="62"/>
      <c r="G297" s="137"/>
      <c r="H297" s="123"/>
      <c r="I297" s="39"/>
      <c r="J297" s="68"/>
      <c r="K297" s="14"/>
      <c r="M297" s="14"/>
      <c r="O297" s="40"/>
      <c r="P297" s="21"/>
    </row>
    <row r="298" spans="2:15" ht="21" customHeight="1">
      <c r="B298" t="s">
        <v>611</v>
      </c>
      <c r="C298" s="43"/>
      <c r="D298" s="65"/>
      <c r="F298" s="154" t="s">
        <v>3</v>
      </c>
      <c r="G298" s="45"/>
      <c r="H298" s="45"/>
      <c r="J298" s="34"/>
      <c r="K298" s="14"/>
      <c r="M298" s="14"/>
      <c r="O298" s="14"/>
    </row>
    <row r="299" spans="2:15" ht="17.25" customHeight="1">
      <c r="B299" s="9" t="s">
        <v>96</v>
      </c>
      <c r="D299" s="3" t="s">
        <v>103</v>
      </c>
      <c r="E299" s="3" t="s">
        <v>104</v>
      </c>
      <c r="F299" s="3"/>
      <c r="G299" s="70"/>
      <c r="I299" s="3"/>
      <c r="J299" s="34"/>
      <c r="K299" s="14"/>
      <c r="M299" s="14"/>
      <c r="O299" s="14"/>
    </row>
    <row r="300" spans="3:16" ht="15.75" customHeight="1">
      <c r="C300" s="43" t="s">
        <v>1184</v>
      </c>
      <c r="D300" s="48" t="s">
        <v>114</v>
      </c>
      <c r="E300" s="89" t="s">
        <v>613</v>
      </c>
      <c r="F300" s="154"/>
      <c r="G300" s="46">
        <v>35467</v>
      </c>
      <c r="H300" s="90">
        <v>39097</v>
      </c>
      <c r="I300" s="87"/>
      <c r="J300" s="34" t="s">
        <v>507</v>
      </c>
      <c r="K300" s="40">
        <v>15757.971</v>
      </c>
      <c r="L300" s="21"/>
      <c r="M300" s="112">
        <v>2659.158</v>
      </c>
      <c r="N300" s="27"/>
      <c r="O300" s="40">
        <f aca="true" t="shared" si="11" ref="O300:O307">K300+M300</f>
        <v>18417.129</v>
      </c>
      <c r="P300" s="21"/>
    </row>
    <row r="301" spans="3:16" ht="15.75" customHeight="1">
      <c r="C301" s="43" t="s">
        <v>726</v>
      </c>
      <c r="D301" s="48" t="s">
        <v>114</v>
      </c>
      <c r="E301" s="89" t="s">
        <v>612</v>
      </c>
      <c r="F301" s="154"/>
      <c r="G301" s="46">
        <v>35810</v>
      </c>
      <c r="H301" s="90">
        <v>39462</v>
      </c>
      <c r="I301" s="87"/>
      <c r="J301" s="34" t="s">
        <v>507</v>
      </c>
      <c r="K301" s="40">
        <v>16811.55</v>
      </c>
      <c r="L301" s="21"/>
      <c r="M301" s="112">
        <v>2457.512</v>
      </c>
      <c r="N301" s="27"/>
      <c r="O301" s="40">
        <f t="shared" si="11"/>
        <v>19269.061999999998</v>
      </c>
      <c r="P301" s="21"/>
    </row>
    <row r="302" spans="3:16" ht="15.75" customHeight="1">
      <c r="C302" s="43" t="s">
        <v>1147</v>
      </c>
      <c r="D302" s="48" t="s">
        <v>114</v>
      </c>
      <c r="E302" s="89" t="s">
        <v>417</v>
      </c>
      <c r="F302" s="154"/>
      <c r="G302" s="52">
        <v>36175</v>
      </c>
      <c r="H302" s="90">
        <v>39828</v>
      </c>
      <c r="I302" s="87"/>
      <c r="J302" s="34" t="s">
        <v>507</v>
      </c>
      <c r="K302" s="40">
        <v>15902.397</v>
      </c>
      <c r="L302" s="21"/>
      <c r="M302" s="112">
        <v>2052.84</v>
      </c>
      <c r="N302" s="27"/>
      <c r="O302" s="40">
        <f t="shared" si="11"/>
        <v>17955.237</v>
      </c>
      <c r="P302" s="21"/>
    </row>
    <row r="303" spans="3:16" ht="15.75" customHeight="1">
      <c r="C303" s="43" t="s">
        <v>1155</v>
      </c>
      <c r="D303" s="48" t="s">
        <v>114</v>
      </c>
      <c r="E303" s="89" t="s">
        <v>834</v>
      </c>
      <c r="F303" s="154"/>
      <c r="G303" s="52">
        <v>36543</v>
      </c>
      <c r="H303" s="90">
        <v>40193</v>
      </c>
      <c r="I303" s="87"/>
      <c r="J303" s="34" t="s">
        <v>507</v>
      </c>
      <c r="K303" s="40">
        <v>11320.963</v>
      </c>
      <c r="L303" s="21"/>
      <c r="M303" s="112">
        <v>1138.889</v>
      </c>
      <c r="N303" s="27"/>
      <c r="O303" s="40">
        <f t="shared" si="11"/>
        <v>12459.851999999999</v>
      </c>
      <c r="P303" s="21"/>
    </row>
    <row r="304" spans="3:16" ht="15.75" customHeight="1">
      <c r="C304" s="43" t="s">
        <v>617</v>
      </c>
      <c r="D304" s="48" t="s">
        <v>114</v>
      </c>
      <c r="E304" s="89" t="s">
        <v>618</v>
      </c>
      <c r="F304" s="154"/>
      <c r="G304" s="52">
        <v>36907</v>
      </c>
      <c r="H304" s="90">
        <v>40558</v>
      </c>
      <c r="I304" s="3"/>
      <c r="J304" s="34" t="s">
        <v>507</v>
      </c>
      <c r="K304" s="40">
        <v>11001.036</v>
      </c>
      <c r="L304" s="21"/>
      <c r="M304" s="51">
        <v>703.186</v>
      </c>
      <c r="N304" s="43"/>
      <c r="O304" s="40">
        <f t="shared" si="11"/>
        <v>11704.222</v>
      </c>
      <c r="P304" s="21"/>
    </row>
    <row r="305" spans="3:16" ht="15.75" customHeight="1">
      <c r="C305" s="43" t="s">
        <v>869</v>
      </c>
      <c r="D305" s="48" t="s">
        <v>114</v>
      </c>
      <c r="E305" s="89" t="s">
        <v>613</v>
      </c>
      <c r="F305" s="154"/>
      <c r="G305" s="52">
        <v>37271</v>
      </c>
      <c r="H305" s="90">
        <v>40923</v>
      </c>
      <c r="I305" s="3"/>
      <c r="J305" s="34" t="s">
        <v>507</v>
      </c>
      <c r="K305" s="40">
        <v>6004.283</v>
      </c>
      <c r="L305" s="21"/>
      <c r="M305" s="51">
        <v>257.223</v>
      </c>
      <c r="N305" s="27"/>
      <c r="O305" s="40">
        <f>K305+M305</f>
        <v>6261.506</v>
      </c>
      <c r="P305" s="21"/>
    </row>
    <row r="306" spans="3:16" ht="15.75" customHeight="1">
      <c r="C306" s="43" t="s">
        <v>1188</v>
      </c>
      <c r="D306" s="48" t="s">
        <v>816</v>
      </c>
      <c r="E306" s="89">
        <v>3</v>
      </c>
      <c r="F306" s="154"/>
      <c r="G306" s="52">
        <v>37452</v>
      </c>
      <c r="H306" s="90">
        <v>41105</v>
      </c>
      <c r="I306" s="3"/>
      <c r="J306" s="34" t="s">
        <v>110</v>
      </c>
      <c r="K306" s="40">
        <v>23017.701</v>
      </c>
      <c r="L306" s="21"/>
      <c r="M306" s="51">
        <v>687.539</v>
      </c>
      <c r="N306" s="27"/>
      <c r="O306" s="40">
        <f>K306+M306</f>
        <v>23705.24</v>
      </c>
      <c r="P306" s="21"/>
    </row>
    <row r="307" spans="3:16" ht="15.75" customHeight="1">
      <c r="C307" s="43" t="s">
        <v>134</v>
      </c>
      <c r="D307" s="48" t="s">
        <v>816</v>
      </c>
      <c r="E307" s="89" t="s">
        <v>60</v>
      </c>
      <c r="F307" s="154"/>
      <c r="G307" s="52">
        <v>37817</v>
      </c>
      <c r="H307" s="90">
        <v>41470</v>
      </c>
      <c r="I307" s="3"/>
      <c r="J307" s="34" t="s">
        <v>110</v>
      </c>
      <c r="K307" s="40">
        <v>20008.319</v>
      </c>
      <c r="L307" s="21"/>
      <c r="M307" s="51">
        <v>164.068</v>
      </c>
      <c r="N307" s="27"/>
      <c r="O307" s="40">
        <f t="shared" si="11"/>
        <v>20172.387</v>
      </c>
      <c r="P307" s="21"/>
    </row>
    <row r="308" spans="3:16" ht="15.75" customHeight="1">
      <c r="C308" s="43" t="s">
        <v>12</v>
      </c>
      <c r="D308" s="48" t="s">
        <v>114</v>
      </c>
      <c r="E308" s="89">
        <v>2</v>
      </c>
      <c r="F308" s="154"/>
      <c r="G308" s="52">
        <v>38001</v>
      </c>
      <c r="H308" s="90">
        <v>41654</v>
      </c>
      <c r="I308" s="3"/>
      <c r="J308" s="34" t="s">
        <v>507</v>
      </c>
      <c r="K308" s="40">
        <v>12000.286</v>
      </c>
      <c r="L308" s="21"/>
      <c r="M308" s="51">
        <v>25.801</v>
      </c>
      <c r="N308" s="27"/>
      <c r="O308" s="40">
        <f>K308+M308</f>
        <v>12026.087</v>
      </c>
      <c r="P308" s="21"/>
    </row>
    <row r="309" spans="2:16" s="75" customFormat="1" ht="21" customHeight="1" thickBot="1">
      <c r="B309" s="224" t="s">
        <v>19</v>
      </c>
      <c r="F309" s="225"/>
      <c r="G309" s="226" t="s">
        <v>99</v>
      </c>
      <c r="H309" s="227" t="s">
        <v>99</v>
      </c>
      <c r="I309" s="76"/>
      <c r="J309" s="228" t="s">
        <v>99</v>
      </c>
      <c r="K309" s="218">
        <f>SUM(K299:K308)</f>
        <v>131824.50600000002</v>
      </c>
      <c r="L309" s="219"/>
      <c r="M309" s="229">
        <f>SUM(M300:M308)</f>
        <v>10146.215999999999</v>
      </c>
      <c r="N309" s="222"/>
      <c r="O309" s="218">
        <f>K309+M309</f>
        <v>141970.722</v>
      </c>
      <c r="P309" s="219"/>
    </row>
    <row r="310" spans="2:16" ht="15.75" customHeight="1" thickTop="1">
      <c r="B310" s="86"/>
      <c r="F310" s="43"/>
      <c r="G310" s="16"/>
      <c r="H310" s="46"/>
      <c r="I310" s="3"/>
      <c r="J310" s="34"/>
      <c r="K310" s="40"/>
      <c r="L310" s="108"/>
      <c r="M310" s="40"/>
      <c r="N310" s="108"/>
      <c r="O310" s="40"/>
      <c r="P310" s="108"/>
    </row>
    <row r="311" spans="2:16" ht="21" customHeight="1">
      <c r="B311" t="s">
        <v>614</v>
      </c>
      <c r="C311" s="43"/>
      <c r="D311" s="65"/>
      <c r="F311" s="154" t="s">
        <v>3</v>
      </c>
      <c r="G311" s="16"/>
      <c r="H311" s="46"/>
      <c r="I311" s="3"/>
      <c r="J311" s="34"/>
      <c r="K311" s="40"/>
      <c r="L311" s="108"/>
      <c r="M311" s="40"/>
      <c r="N311" s="108"/>
      <c r="O311" s="40"/>
      <c r="P311" s="108"/>
    </row>
    <row r="312" spans="2:16" ht="17.25" customHeight="1">
      <c r="B312" s="9" t="s">
        <v>96</v>
      </c>
      <c r="D312" s="3"/>
      <c r="E312" s="3" t="s">
        <v>104</v>
      </c>
      <c r="F312" s="3"/>
      <c r="G312" s="70"/>
      <c r="H312" s="90"/>
      <c r="I312" s="87"/>
      <c r="J312" s="34"/>
      <c r="K312" s="40"/>
      <c r="L312" s="108"/>
      <c r="M312" s="47"/>
      <c r="N312" s="27"/>
      <c r="O312" s="40"/>
      <c r="P312" s="108"/>
    </row>
    <row r="313" spans="2:16" ht="15.75" customHeight="1">
      <c r="B313" s="86"/>
      <c r="C313" s="43" t="s">
        <v>981</v>
      </c>
      <c r="D313" s="48"/>
      <c r="E313" s="89" t="s">
        <v>612</v>
      </c>
      <c r="F313" s="154"/>
      <c r="G313" s="46">
        <v>35900</v>
      </c>
      <c r="H313" s="90">
        <v>46858</v>
      </c>
      <c r="I313" s="87"/>
      <c r="J313" s="34" t="s">
        <v>748</v>
      </c>
      <c r="K313" s="40">
        <v>16808.478</v>
      </c>
      <c r="L313" s="21"/>
      <c r="M313" s="112">
        <v>2406.422</v>
      </c>
      <c r="N313" s="27"/>
      <c r="O313" s="40">
        <f>K313+M313</f>
        <v>19214.899999999998</v>
      </c>
      <c r="P313" s="21"/>
    </row>
    <row r="314" spans="2:15" ht="15.75" customHeight="1">
      <c r="B314" s="86"/>
      <c r="C314" s="43" t="s">
        <v>1157</v>
      </c>
      <c r="D314" s="48"/>
      <c r="E314" s="89" t="s">
        <v>417</v>
      </c>
      <c r="F314" s="154"/>
      <c r="G314" s="52">
        <v>36265</v>
      </c>
      <c r="H314" s="90">
        <v>47223</v>
      </c>
      <c r="I314" s="87"/>
      <c r="J314" s="34" t="s">
        <v>748</v>
      </c>
      <c r="K314" s="40">
        <v>19722.104</v>
      </c>
      <c r="L314" s="21"/>
      <c r="M314" s="112">
        <v>2239.014</v>
      </c>
      <c r="N314" s="27"/>
      <c r="O314" s="40">
        <f>K314+M314</f>
        <v>21961.118</v>
      </c>
    </row>
    <row r="315" spans="2:15" ht="15.75" customHeight="1">
      <c r="B315" s="86"/>
      <c r="C315" s="43" t="s">
        <v>247</v>
      </c>
      <c r="D315" s="48"/>
      <c r="E315" s="89" t="s">
        <v>613</v>
      </c>
      <c r="F315" s="154"/>
      <c r="G315" s="52">
        <v>37179</v>
      </c>
      <c r="H315" s="90">
        <v>48319</v>
      </c>
      <c r="I315" s="87"/>
      <c r="J315" s="34" t="s">
        <v>801</v>
      </c>
      <c r="K315" s="40">
        <v>5012.235</v>
      </c>
      <c r="L315" s="21"/>
      <c r="M315" s="112">
        <v>216.629</v>
      </c>
      <c r="N315" s="27"/>
      <c r="O315" s="40">
        <f>K315+M315</f>
        <v>5228.864</v>
      </c>
    </row>
    <row r="316" spans="2:16" s="75" customFormat="1" ht="21" customHeight="1" thickBot="1">
      <c r="B316" s="224" t="s">
        <v>24</v>
      </c>
      <c r="F316" s="225"/>
      <c r="G316" s="226" t="s">
        <v>99</v>
      </c>
      <c r="H316" s="227" t="s">
        <v>99</v>
      </c>
      <c r="I316" s="76"/>
      <c r="J316" s="228" t="s">
        <v>99</v>
      </c>
      <c r="K316" s="229">
        <f>SUM(K313:K315)</f>
        <v>41542.816999999995</v>
      </c>
      <c r="L316" s="219"/>
      <c r="M316" s="229">
        <f>SUM(M313:M315)</f>
        <v>4862.065</v>
      </c>
      <c r="N316" s="400"/>
      <c r="O316" s="218">
        <f>K316+M316</f>
        <v>46404.882</v>
      </c>
      <c r="P316" s="219"/>
    </row>
    <row r="317" spans="2:16" s="75" customFormat="1" ht="21" customHeight="1" thickTop="1">
      <c r="B317" s="224"/>
      <c r="F317" s="225"/>
      <c r="G317" s="226"/>
      <c r="H317" s="227"/>
      <c r="I317" s="76"/>
      <c r="J317" s="228"/>
      <c r="K317" s="398"/>
      <c r="L317" s="268"/>
      <c r="M317" s="398"/>
      <c r="N317" s="269"/>
      <c r="O317" s="399"/>
      <c r="P317" s="268"/>
    </row>
    <row r="318" spans="1:16" ht="18" customHeight="1" thickBot="1">
      <c r="A318" s="223" t="s">
        <v>25</v>
      </c>
      <c r="B318" s="223"/>
      <c r="F318" s="71"/>
      <c r="G318" s="49" t="s">
        <v>99</v>
      </c>
      <c r="H318" s="49" t="s">
        <v>99</v>
      </c>
      <c r="I318" s="8"/>
      <c r="J318" s="50" t="s">
        <v>99</v>
      </c>
      <c r="K318" s="111">
        <f>+K316+K309+K274+K151+K56</f>
        <v>3773612.448000001</v>
      </c>
      <c r="L318" s="128"/>
      <c r="M318" s="111">
        <f>+M316+M309+M274+M151+M56</f>
        <v>-52398.019</v>
      </c>
      <c r="N318" s="128"/>
      <c r="O318" s="111">
        <f>K318+M318</f>
        <v>3721214.429000001</v>
      </c>
      <c r="P318" s="127"/>
    </row>
    <row r="319" spans="6:16" ht="15.75" customHeight="1" thickTop="1">
      <c r="F319" s="113"/>
      <c r="G319" s="114"/>
      <c r="H319" s="114"/>
      <c r="I319" s="8"/>
      <c r="J319" s="115"/>
      <c r="K319" s="116"/>
      <c r="L319" s="117"/>
      <c r="M319" s="116"/>
      <c r="N319" s="117"/>
      <c r="O319" s="116"/>
      <c r="P319" s="118"/>
    </row>
    <row r="320" spans="6:16" ht="15.75" customHeight="1">
      <c r="F320" s="113"/>
      <c r="G320" s="114"/>
      <c r="H320" s="114"/>
      <c r="I320" s="8"/>
      <c r="J320" s="115"/>
      <c r="K320" s="116"/>
      <c r="L320" s="117"/>
      <c r="M320" s="116"/>
      <c r="N320" s="117"/>
      <c r="O320" s="116"/>
      <c r="P320" s="118"/>
    </row>
    <row r="321" spans="6:16" ht="15.75" customHeight="1">
      <c r="F321" s="113"/>
      <c r="G321" s="114"/>
      <c r="H321" s="114"/>
      <c r="I321" s="8"/>
      <c r="J321" s="115"/>
      <c r="K321" s="116"/>
      <c r="L321" s="117"/>
      <c r="M321" s="116"/>
      <c r="N321" s="117"/>
      <c r="O321" s="116"/>
      <c r="P321" s="118"/>
    </row>
    <row r="322" spans="6:16" ht="15.75" customHeight="1">
      <c r="F322" s="113"/>
      <c r="G322" s="114"/>
      <c r="H322" s="114"/>
      <c r="I322" s="8"/>
      <c r="J322" s="115"/>
      <c r="K322" s="116"/>
      <c r="L322" s="117"/>
      <c r="M322" s="116"/>
      <c r="N322" s="117"/>
      <c r="O322" s="116"/>
      <c r="P322" s="118"/>
    </row>
    <row r="323" spans="6:16" ht="15.75" customHeight="1">
      <c r="F323" s="113"/>
      <c r="G323" s="114"/>
      <c r="H323" s="114"/>
      <c r="I323" s="8"/>
      <c r="J323" s="115"/>
      <c r="K323" s="116"/>
      <c r="L323" s="117"/>
      <c r="M323" s="116"/>
      <c r="N323" s="117"/>
      <c r="O323" s="116"/>
      <c r="P323" s="118"/>
    </row>
    <row r="324" spans="6:16" ht="15.75" customHeight="1">
      <c r="F324" s="113"/>
      <c r="G324" s="114"/>
      <c r="H324" s="114"/>
      <c r="I324" s="8"/>
      <c r="J324" s="115"/>
      <c r="K324" s="116"/>
      <c r="L324" s="117"/>
      <c r="M324" s="116"/>
      <c r="N324" s="117"/>
      <c r="O324" s="116"/>
      <c r="P324" s="118"/>
    </row>
    <row r="325" spans="6:16" ht="15.75" customHeight="1">
      <c r="F325" s="113"/>
      <c r="G325" s="114"/>
      <c r="H325" s="114"/>
      <c r="I325" s="8"/>
      <c r="J325" s="115"/>
      <c r="K325" s="116"/>
      <c r="L325" s="117"/>
      <c r="M325" s="116"/>
      <c r="N325" s="117"/>
      <c r="O325" s="116"/>
      <c r="P325" s="118"/>
    </row>
    <row r="326" spans="6:16" ht="15.75" customHeight="1">
      <c r="F326" s="113"/>
      <c r="G326" s="114"/>
      <c r="H326" s="114"/>
      <c r="I326" s="8"/>
      <c r="J326" s="115"/>
      <c r="K326" s="116"/>
      <c r="L326" s="117"/>
      <c r="M326" s="116"/>
      <c r="N326" s="117"/>
      <c r="O326" s="116"/>
      <c r="P326" s="118"/>
    </row>
    <row r="327" spans="6:16" ht="15.75" customHeight="1">
      <c r="F327" s="113"/>
      <c r="G327" s="114"/>
      <c r="H327" s="114"/>
      <c r="I327" s="8"/>
      <c r="J327" s="115"/>
      <c r="K327" s="116"/>
      <c r="L327" s="117"/>
      <c r="M327" s="116"/>
      <c r="N327" s="117"/>
      <c r="O327" s="116"/>
      <c r="P327" s="118"/>
    </row>
    <row r="328" spans="6:16" ht="15.75" customHeight="1">
      <c r="F328" s="113"/>
      <c r="G328" s="114"/>
      <c r="H328" s="114"/>
      <c r="I328" s="8"/>
      <c r="J328" s="115"/>
      <c r="K328" s="116"/>
      <c r="L328" s="117"/>
      <c r="M328" s="116"/>
      <c r="N328" s="117"/>
      <c r="O328" s="116"/>
      <c r="P328" s="118"/>
    </row>
    <row r="329" spans="6:16" ht="15.75" customHeight="1">
      <c r="F329" s="113"/>
      <c r="G329" s="114"/>
      <c r="H329" s="114"/>
      <c r="I329" s="8"/>
      <c r="J329" s="115"/>
      <c r="K329" s="116"/>
      <c r="L329" s="117"/>
      <c r="M329" s="116"/>
      <c r="N329" s="117"/>
      <c r="O329" s="116"/>
      <c r="P329" s="118"/>
    </row>
    <row r="330" spans="6:16" ht="15.75" customHeight="1">
      <c r="F330" s="113"/>
      <c r="G330" s="114"/>
      <c r="H330" s="114"/>
      <c r="I330" s="8"/>
      <c r="J330" s="115"/>
      <c r="K330" s="116"/>
      <c r="L330" s="117"/>
      <c r="M330" s="116"/>
      <c r="N330" s="117"/>
      <c r="O330" s="116"/>
      <c r="P330" s="118"/>
    </row>
    <row r="331" spans="6:16" ht="15.75" customHeight="1">
      <c r="F331" s="113"/>
      <c r="G331" s="114"/>
      <c r="H331" s="114"/>
      <c r="I331" s="8"/>
      <c r="J331" s="115"/>
      <c r="K331" s="116"/>
      <c r="L331" s="117"/>
      <c r="M331" s="116"/>
      <c r="N331" s="117"/>
      <c r="O331" s="116"/>
      <c r="P331" s="118"/>
    </row>
    <row r="332" spans="6:16" ht="15.75" customHeight="1">
      <c r="F332" s="113"/>
      <c r="G332" s="114"/>
      <c r="H332" s="114"/>
      <c r="I332" s="8"/>
      <c r="J332" s="115"/>
      <c r="K332" s="116"/>
      <c r="L332" s="117"/>
      <c r="M332" s="116"/>
      <c r="N332" s="117"/>
      <c r="O332" s="116"/>
      <c r="P332" s="118"/>
    </row>
    <row r="333" spans="6:16" ht="15.75" customHeight="1">
      <c r="F333" s="113"/>
      <c r="G333" s="114"/>
      <c r="H333" s="114"/>
      <c r="I333" s="8"/>
      <c r="J333" s="115"/>
      <c r="K333" s="116"/>
      <c r="L333" s="117"/>
      <c r="M333" s="116"/>
      <c r="N333" s="117"/>
      <c r="O333" s="116"/>
      <c r="P333" s="118"/>
    </row>
    <row r="334" spans="6:16" ht="15.75" customHeight="1">
      <c r="F334" s="113"/>
      <c r="G334" s="114"/>
      <c r="H334" s="114"/>
      <c r="I334" s="8"/>
      <c r="J334" s="115"/>
      <c r="K334" s="116"/>
      <c r="L334" s="117"/>
      <c r="M334" s="116"/>
      <c r="N334" s="117"/>
      <c r="O334" s="116"/>
      <c r="P334" s="118"/>
    </row>
    <row r="335" spans="6:16" ht="15.75" customHeight="1">
      <c r="F335" s="113"/>
      <c r="G335" s="114"/>
      <c r="H335" s="114"/>
      <c r="I335" s="8"/>
      <c r="J335" s="115"/>
      <c r="K335" s="116"/>
      <c r="L335" s="117"/>
      <c r="M335" s="116"/>
      <c r="N335" s="117"/>
      <c r="O335" s="116"/>
      <c r="P335" s="118"/>
    </row>
    <row r="336" spans="6:16" ht="15.75" customHeight="1">
      <c r="F336" s="113"/>
      <c r="G336" s="114"/>
      <c r="H336" s="114"/>
      <c r="I336" s="8"/>
      <c r="J336" s="115"/>
      <c r="K336" s="116"/>
      <c r="L336" s="117"/>
      <c r="M336" s="116"/>
      <c r="N336" s="117"/>
      <c r="O336" s="116"/>
      <c r="P336" s="118"/>
    </row>
    <row r="337" spans="6:16" ht="15.75" customHeight="1">
      <c r="F337" s="113"/>
      <c r="G337" s="114"/>
      <c r="H337" s="114"/>
      <c r="I337" s="8"/>
      <c r="J337" s="115"/>
      <c r="K337" s="116"/>
      <c r="L337" s="117"/>
      <c r="M337" s="116"/>
      <c r="N337" s="117"/>
      <c r="O337" s="116"/>
      <c r="P337" s="118"/>
    </row>
    <row r="338" spans="6:16" ht="15.75" customHeight="1">
      <c r="F338" s="113"/>
      <c r="G338" s="114"/>
      <c r="H338" s="114"/>
      <c r="I338" s="8"/>
      <c r="J338" s="115"/>
      <c r="K338" s="116"/>
      <c r="L338" s="117"/>
      <c r="M338" s="116"/>
      <c r="N338" s="117"/>
      <c r="O338" s="116"/>
      <c r="P338" s="118"/>
    </row>
    <row r="339" spans="6:16" ht="15.75" customHeight="1">
      <c r="F339" s="113"/>
      <c r="G339" s="114"/>
      <c r="H339" s="114"/>
      <c r="I339" s="8"/>
      <c r="J339" s="115"/>
      <c r="K339" s="116"/>
      <c r="L339" s="117"/>
      <c r="M339" s="116"/>
      <c r="N339" s="117"/>
      <c r="O339" s="116"/>
      <c r="P339" s="118"/>
    </row>
    <row r="340" spans="6:16" ht="15.75" customHeight="1">
      <c r="F340" s="113"/>
      <c r="G340" s="114"/>
      <c r="H340" s="114"/>
      <c r="I340" s="8"/>
      <c r="J340" s="115"/>
      <c r="K340" s="116"/>
      <c r="L340" s="117"/>
      <c r="M340" s="116"/>
      <c r="N340" s="117"/>
      <c r="O340" s="116"/>
      <c r="P340" s="118"/>
    </row>
    <row r="341" spans="6:16" ht="15.75" customHeight="1">
      <c r="F341" s="113"/>
      <c r="G341" s="114"/>
      <c r="H341" s="114"/>
      <c r="I341" s="8"/>
      <c r="J341" s="115"/>
      <c r="K341" s="116"/>
      <c r="L341" s="117"/>
      <c r="M341" s="116"/>
      <c r="N341" s="117"/>
      <c r="O341" s="116"/>
      <c r="P341" s="118"/>
    </row>
    <row r="342" spans="6:16" ht="15.75" customHeight="1">
      <c r="F342" s="113"/>
      <c r="G342" s="114"/>
      <c r="H342" s="114"/>
      <c r="I342" s="8"/>
      <c r="J342" s="115"/>
      <c r="K342" s="116"/>
      <c r="L342" s="117"/>
      <c r="M342" s="116"/>
      <c r="N342" s="117"/>
      <c r="O342" s="116"/>
      <c r="P342" s="118"/>
    </row>
    <row r="343" spans="6:16" ht="15.75" customHeight="1">
      <c r="F343" s="113"/>
      <c r="G343" s="114"/>
      <c r="H343" s="114"/>
      <c r="I343" s="8"/>
      <c r="J343" s="115"/>
      <c r="K343" s="116"/>
      <c r="L343" s="117"/>
      <c r="M343" s="116"/>
      <c r="N343" s="117"/>
      <c r="O343" s="116"/>
      <c r="P343" s="118"/>
    </row>
    <row r="344" spans="6:16" ht="15.75" customHeight="1">
      <c r="F344" s="113"/>
      <c r="G344" s="114"/>
      <c r="H344" s="114"/>
      <c r="I344" s="8"/>
      <c r="J344" s="115"/>
      <c r="K344" s="116"/>
      <c r="L344" s="117"/>
      <c r="M344" s="116"/>
      <c r="N344" s="117"/>
      <c r="O344" s="116"/>
      <c r="P344" s="118"/>
    </row>
    <row r="345" spans="6:16" ht="15.75" customHeight="1">
      <c r="F345" s="113"/>
      <c r="G345" s="114"/>
      <c r="H345" s="114"/>
      <c r="I345" s="8"/>
      <c r="J345" s="115"/>
      <c r="K345" s="116"/>
      <c r="L345" s="117"/>
      <c r="M345" s="116"/>
      <c r="N345" s="117"/>
      <c r="O345" s="116"/>
      <c r="P345" s="118"/>
    </row>
    <row r="346" spans="6:16" ht="15.75" customHeight="1">
      <c r="F346" s="113"/>
      <c r="G346" s="114"/>
      <c r="H346" s="114"/>
      <c r="I346" s="8"/>
      <c r="J346" s="115"/>
      <c r="K346" s="116"/>
      <c r="L346" s="117"/>
      <c r="M346" s="116"/>
      <c r="N346" s="117"/>
      <c r="O346" s="116"/>
      <c r="P346" s="118"/>
    </row>
    <row r="347" spans="6:16" ht="15.75" customHeight="1">
      <c r="F347" s="113"/>
      <c r="G347" s="114"/>
      <c r="H347" s="114"/>
      <c r="I347" s="8"/>
      <c r="J347" s="115"/>
      <c r="K347" s="116"/>
      <c r="L347" s="117"/>
      <c r="M347" s="116"/>
      <c r="N347" s="117"/>
      <c r="O347" s="116"/>
      <c r="P347" s="118"/>
    </row>
    <row r="348" spans="6:16" ht="15.75" customHeight="1">
      <c r="F348" s="113"/>
      <c r="G348" s="114"/>
      <c r="H348" s="114"/>
      <c r="I348" s="8"/>
      <c r="J348" s="115"/>
      <c r="K348" s="116"/>
      <c r="L348" s="117"/>
      <c r="M348" s="116"/>
      <c r="N348" s="117"/>
      <c r="O348" s="116"/>
      <c r="P348" s="118"/>
    </row>
    <row r="349" spans="6:16" ht="15.75" customHeight="1">
      <c r="F349" s="113"/>
      <c r="G349" s="114"/>
      <c r="H349" s="114"/>
      <c r="I349" s="8"/>
      <c r="J349" s="115"/>
      <c r="K349" s="116"/>
      <c r="L349" s="117"/>
      <c r="M349" s="116"/>
      <c r="N349" s="117"/>
      <c r="O349" s="116"/>
      <c r="P349" s="118"/>
    </row>
    <row r="350" spans="6:16" ht="15.75" customHeight="1">
      <c r="F350" s="113"/>
      <c r="G350" s="114"/>
      <c r="H350" s="114"/>
      <c r="I350" s="8"/>
      <c r="J350" s="115"/>
      <c r="K350" s="116"/>
      <c r="L350" s="117"/>
      <c r="M350" s="116"/>
      <c r="N350" s="117"/>
      <c r="O350" s="116"/>
      <c r="P350" s="118"/>
    </row>
    <row r="351" spans="6:16" ht="15.75" customHeight="1">
      <c r="F351" s="113"/>
      <c r="G351" s="114"/>
      <c r="H351" s="114"/>
      <c r="I351" s="8"/>
      <c r="J351" s="115"/>
      <c r="K351" s="116"/>
      <c r="L351" s="117"/>
      <c r="M351" s="116"/>
      <c r="N351" s="117"/>
      <c r="O351" s="116"/>
      <c r="P351" s="118"/>
    </row>
    <row r="352" spans="6:16" ht="15.75" customHeight="1">
      <c r="F352" s="113"/>
      <c r="G352" s="114"/>
      <c r="H352" s="114"/>
      <c r="I352" s="8"/>
      <c r="J352" s="115"/>
      <c r="K352" s="116"/>
      <c r="L352" s="117"/>
      <c r="M352" s="116"/>
      <c r="N352" s="117"/>
      <c r="O352" s="116"/>
      <c r="P352" s="118"/>
    </row>
    <row r="353" spans="6:16" ht="15.75" customHeight="1">
      <c r="F353" s="113"/>
      <c r="G353" s="114"/>
      <c r="H353" s="114"/>
      <c r="I353" s="8"/>
      <c r="J353" s="115"/>
      <c r="K353" s="116"/>
      <c r="L353" s="117"/>
      <c r="M353" s="116"/>
      <c r="N353" s="117"/>
      <c r="O353" s="116"/>
      <c r="P353" s="118"/>
    </row>
    <row r="354" spans="6:16" ht="15.75" customHeight="1">
      <c r="F354" s="113"/>
      <c r="G354" s="114"/>
      <c r="H354" s="114"/>
      <c r="I354" s="8"/>
      <c r="J354" s="115"/>
      <c r="K354" s="116"/>
      <c r="L354" s="117"/>
      <c r="M354" s="116"/>
      <c r="N354" s="117"/>
      <c r="O354" s="116"/>
      <c r="P354" s="118"/>
    </row>
    <row r="355" spans="6:16" ht="15.75" customHeight="1">
      <c r="F355" s="113"/>
      <c r="G355" s="114"/>
      <c r="H355" s="114"/>
      <c r="I355" s="8"/>
      <c r="J355" s="115"/>
      <c r="K355" s="116"/>
      <c r="L355" s="117"/>
      <c r="M355" s="116"/>
      <c r="N355" s="117"/>
      <c r="O355" s="116"/>
      <c r="P355" s="118"/>
    </row>
    <row r="356" spans="6:16" ht="15.75" customHeight="1">
      <c r="F356" s="113"/>
      <c r="G356" s="114"/>
      <c r="H356" s="114"/>
      <c r="I356" s="8"/>
      <c r="J356" s="115"/>
      <c r="K356" s="116"/>
      <c r="L356" s="117"/>
      <c r="M356" s="116"/>
      <c r="N356" s="117"/>
      <c r="O356" s="116"/>
      <c r="P356" s="118"/>
    </row>
    <row r="357" spans="6:16" ht="15.75" customHeight="1">
      <c r="F357" s="113"/>
      <c r="G357" s="114"/>
      <c r="H357" s="114"/>
      <c r="I357" s="8"/>
      <c r="J357" s="115"/>
      <c r="K357" s="116"/>
      <c r="L357" s="117"/>
      <c r="M357" s="116"/>
      <c r="N357" s="117"/>
      <c r="O357" s="116"/>
      <c r="P357" s="118"/>
    </row>
    <row r="358" spans="6:16" ht="15.75" customHeight="1">
      <c r="F358" s="113"/>
      <c r="G358" s="114"/>
      <c r="H358" s="114"/>
      <c r="I358" s="8"/>
      <c r="J358" s="115"/>
      <c r="K358" s="116"/>
      <c r="L358" s="117"/>
      <c r="M358" s="116"/>
      <c r="N358" s="117"/>
      <c r="O358" s="116"/>
      <c r="P358" s="118"/>
    </row>
    <row r="359" spans="6:16" ht="15.75" customHeight="1">
      <c r="F359" s="113"/>
      <c r="G359" s="114"/>
      <c r="H359" s="114"/>
      <c r="I359" s="8"/>
      <c r="J359" s="115"/>
      <c r="K359" s="116"/>
      <c r="L359" s="117"/>
      <c r="M359" s="116"/>
      <c r="N359" s="117"/>
      <c r="O359" s="116"/>
      <c r="P359" s="118"/>
    </row>
    <row r="360" spans="6:16" ht="15.75" customHeight="1">
      <c r="F360" s="113"/>
      <c r="G360" s="114"/>
      <c r="H360" s="114"/>
      <c r="I360" s="8"/>
      <c r="J360" s="115"/>
      <c r="K360" s="116"/>
      <c r="L360" s="117"/>
      <c r="M360" s="116"/>
      <c r="N360" s="117"/>
      <c r="O360" s="116"/>
      <c r="P360" s="118"/>
    </row>
    <row r="361" spans="6:16" ht="15.75" customHeight="1">
      <c r="F361" s="113"/>
      <c r="G361" s="114"/>
      <c r="H361" s="114"/>
      <c r="I361" s="8"/>
      <c r="J361" s="115"/>
      <c r="K361" s="116"/>
      <c r="L361" s="117"/>
      <c r="M361" s="116"/>
      <c r="N361" s="117"/>
      <c r="O361" s="116"/>
      <c r="P361" s="118"/>
    </row>
    <row r="362" spans="6:16" ht="15.75" customHeight="1">
      <c r="F362" s="113"/>
      <c r="G362" s="114"/>
      <c r="H362" s="114"/>
      <c r="I362" s="8"/>
      <c r="J362" s="115"/>
      <c r="K362" s="116"/>
      <c r="L362" s="117"/>
      <c r="M362" s="116"/>
      <c r="N362" s="117"/>
      <c r="O362" s="116"/>
      <c r="P362" s="118"/>
    </row>
    <row r="363" spans="6:16" ht="15.75" customHeight="1">
      <c r="F363" s="113"/>
      <c r="G363" s="114"/>
      <c r="H363" s="114"/>
      <c r="I363" s="8"/>
      <c r="J363" s="115"/>
      <c r="K363" s="116"/>
      <c r="L363" s="117"/>
      <c r="M363" s="116"/>
      <c r="N363" s="117"/>
      <c r="O363" s="116"/>
      <c r="P363" s="118"/>
    </row>
    <row r="364" spans="6:16" ht="15.75" customHeight="1">
      <c r="F364" s="113"/>
      <c r="G364" s="114"/>
      <c r="H364" s="114"/>
      <c r="I364" s="8"/>
      <c r="J364" s="115"/>
      <c r="K364" s="116"/>
      <c r="L364" s="117"/>
      <c r="M364" s="116"/>
      <c r="N364" s="117"/>
      <c r="O364" s="116"/>
      <c r="P364" s="118"/>
    </row>
    <row r="365" spans="6:16" ht="15.75" customHeight="1">
      <c r="F365" s="113"/>
      <c r="G365" s="114"/>
      <c r="H365" s="114"/>
      <c r="I365" s="8"/>
      <c r="J365" s="115"/>
      <c r="K365" s="116"/>
      <c r="L365" s="117"/>
      <c r="M365" s="116"/>
      <c r="N365" s="117"/>
      <c r="O365" s="116"/>
      <c r="P365" s="118"/>
    </row>
    <row r="366" spans="6:16" ht="15.75" customHeight="1">
      <c r="F366" s="113"/>
      <c r="G366" s="114"/>
      <c r="H366" s="114"/>
      <c r="I366" s="8"/>
      <c r="J366" s="115"/>
      <c r="K366" s="116"/>
      <c r="L366" s="117"/>
      <c r="M366" s="116"/>
      <c r="N366" s="117"/>
      <c r="O366" s="116"/>
      <c r="P366" s="118"/>
    </row>
    <row r="367" spans="6:16" ht="15.75" customHeight="1">
      <c r="F367" s="113"/>
      <c r="G367" s="114"/>
      <c r="H367" s="114"/>
      <c r="I367" s="8"/>
      <c r="J367" s="115"/>
      <c r="K367" s="116"/>
      <c r="L367" s="117"/>
      <c r="M367" s="116"/>
      <c r="N367" s="117"/>
      <c r="O367" s="116"/>
      <c r="P367" s="118"/>
    </row>
    <row r="368" spans="6:16" ht="15.75" customHeight="1">
      <c r="F368" s="113"/>
      <c r="G368" s="114"/>
      <c r="H368" s="114"/>
      <c r="I368" s="8"/>
      <c r="J368" s="115"/>
      <c r="K368" s="116"/>
      <c r="L368" s="117"/>
      <c r="M368" s="116"/>
      <c r="N368" s="117"/>
      <c r="O368" s="116"/>
      <c r="P368" s="118"/>
    </row>
    <row r="369" spans="6:16" ht="15.75" customHeight="1">
      <c r="F369" s="113"/>
      <c r="G369" s="114"/>
      <c r="H369" s="114"/>
      <c r="I369" s="8"/>
      <c r="J369" s="115"/>
      <c r="K369" s="116"/>
      <c r="L369" s="117"/>
      <c r="M369" s="116"/>
      <c r="N369" s="117"/>
      <c r="O369" s="116"/>
      <c r="P369" s="118"/>
    </row>
    <row r="370" spans="6:16" ht="15.75" customHeight="1">
      <c r="F370" s="113"/>
      <c r="G370" s="114"/>
      <c r="H370" s="114"/>
      <c r="I370" s="8"/>
      <c r="J370" s="115"/>
      <c r="K370" s="116"/>
      <c r="L370" s="117"/>
      <c r="M370" s="116"/>
      <c r="N370" s="117"/>
      <c r="O370" s="116"/>
      <c r="P370" s="118"/>
    </row>
    <row r="371" spans="6:16" ht="15.75" customHeight="1">
      <c r="F371" s="113"/>
      <c r="G371" s="114"/>
      <c r="H371" s="114"/>
      <c r="I371" s="8"/>
      <c r="J371" s="115"/>
      <c r="K371" s="116"/>
      <c r="L371" s="117"/>
      <c r="M371" s="116"/>
      <c r="N371" s="117"/>
      <c r="O371" s="116"/>
      <c r="P371" s="118"/>
    </row>
    <row r="372" spans="6:16" ht="15.75" customHeight="1">
      <c r="F372" s="113"/>
      <c r="G372" s="114"/>
      <c r="H372" s="114"/>
      <c r="I372" s="8"/>
      <c r="J372" s="115"/>
      <c r="K372" s="116"/>
      <c r="L372" s="117"/>
      <c r="M372" s="116"/>
      <c r="N372" s="117"/>
      <c r="O372" s="116"/>
      <c r="P372" s="118"/>
    </row>
    <row r="373" spans="6:16" ht="15.75" customHeight="1">
      <c r="F373" s="113"/>
      <c r="G373" s="114"/>
      <c r="H373" s="114"/>
      <c r="I373" s="8"/>
      <c r="J373" s="115"/>
      <c r="K373" s="116"/>
      <c r="L373" s="117"/>
      <c r="M373" s="116"/>
      <c r="N373" s="117"/>
      <c r="O373" s="116"/>
      <c r="P373" s="118"/>
    </row>
    <row r="374" spans="6:16" ht="15.75" customHeight="1">
      <c r="F374" s="113"/>
      <c r="G374" s="114"/>
      <c r="H374" s="114"/>
      <c r="I374" s="8"/>
      <c r="J374" s="115"/>
      <c r="K374" s="116"/>
      <c r="L374" s="117"/>
      <c r="M374" s="116"/>
      <c r="N374" s="117"/>
      <c r="O374" s="116"/>
      <c r="P374" s="118"/>
    </row>
    <row r="375" spans="6:16" ht="15.75" customHeight="1">
      <c r="F375" s="113"/>
      <c r="G375" s="114"/>
      <c r="H375" s="114"/>
      <c r="I375" s="8"/>
      <c r="J375" s="115"/>
      <c r="K375" s="116"/>
      <c r="L375" s="117"/>
      <c r="M375" s="116"/>
      <c r="N375" s="117"/>
      <c r="O375" s="116"/>
      <c r="P375" s="118"/>
    </row>
    <row r="376" spans="6:16" ht="15.75" customHeight="1">
      <c r="F376" s="113"/>
      <c r="G376" s="114"/>
      <c r="H376" s="114"/>
      <c r="I376" s="8"/>
      <c r="J376" s="115"/>
      <c r="K376" s="116"/>
      <c r="L376" s="117"/>
      <c r="M376" s="116"/>
      <c r="N376" s="117"/>
      <c r="O376" s="116"/>
      <c r="P376" s="118"/>
    </row>
    <row r="377" spans="6:16" ht="15.75" customHeight="1">
      <c r="F377" s="113"/>
      <c r="G377" s="114"/>
      <c r="H377" s="114"/>
      <c r="I377" s="8"/>
      <c r="J377" s="115"/>
      <c r="K377" s="116"/>
      <c r="L377" s="117"/>
      <c r="M377" s="116"/>
      <c r="N377" s="117"/>
      <c r="O377" s="116"/>
      <c r="P377" s="118"/>
    </row>
    <row r="378" spans="6:16" ht="15.75" customHeight="1">
      <c r="F378" s="113"/>
      <c r="G378" s="114"/>
      <c r="H378" s="114"/>
      <c r="I378" s="8"/>
      <c r="J378" s="115"/>
      <c r="K378" s="116"/>
      <c r="L378" s="117"/>
      <c r="M378" s="116"/>
      <c r="N378" s="117"/>
      <c r="O378" s="116"/>
      <c r="P378" s="118"/>
    </row>
    <row r="379" spans="6:16" ht="15.75" customHeight="1">
      <c r="F379" s="113"/>
      <c r="G379" s="114"/>
      <c r="H379" s="114"/>
      <c r="I379" s="8"/>
      <c r="J379" s="115"/>
      <c r="K379" s="116"/>
      <c r="L379" s="117"/>
      <c r="M379" s="116"/>
      <c r="N379" s="117"/>
      <c r="O379" s="116"/>
      <c r="P379" s="118"/>
    </row>
    <row r="380" spans="6:16" ht="15.75" customHeight="1">
      <c r="F380" s="113"/>
      <c r="G380" s="114"/>
      <c r="H380" s="114"/>
      <c r="I380" s="8"/>
      <c r="J380" s="115"/>
      <c r="K380" s="116"/>
      <c r="L380" s="117"/>
      <c r="M380" s="116"/>
      <c r="N380" s="117"/>
      <c r="O380" s="116"/>
      <c r="P380" s="118"/>
    </row>
    <row r="381" spans="6:16" ht="15.75" customHeight="1">
      <c r="F381" s="113"/>
      <c r="G381" s="114"/>
      <c r="H381" s="114"/>
      <c r="I381" s="8"/>
      <c r="J381" s="115"/>
      <c r="K381" s="116"/>
      <c r="L381" s="117"/>
      <c r="M381" s="116"/>
      <c r="N381" s="117"/>
      <c r="O381" s="116"/>
      <c r="P381" s="118"/>
    </row>
    <row r="382" spans="6:16" ht="15.75" customHeight="1">
      <c r="F382" s="113"/>
      <c r="G382" s="114"/>
      <c r="H382" s="114"/>
      <c r="I382" s="8"/>
      <c r="J382" s="115"/>
      <c r="K382" s="116"/>
      <c r="L382" s="117"/>
      <c r="M382" s="116"/>
      <c r="N382" s="117"/>
      <c r="O382" s="116"/>
      <c r="P382" s="118"/>
    </row>
    <row r="383" spans="6:16" ht="15.75" customHeight="1">
      <c r="F383" s="113"/>
      <c r="G383" s="114"/>
      <c r="H383" s="114"/>
      <c r="I383" s="8"/>
      <c r="J383" s="115"/>
      <c r="K383" s="116"/>
      <c r="L383" s="117"/>
      <c r="M383" s="116"/>
      <c r="N383" s="117"/>
      <c r="O383" s="116"/>
      <c r="P383" s="118"/>
    </row>
    <row r="384" spans="6:16" s="100" customFormat="1" ht="15.75" customHeight="1" thickBot="1">
      <c r="F384" s="171"/>
      <c r="G384" s="172"/>
      <c r="H384" s="172"/>
      <c r="I384" s="173"/>
      <c r="J384" s="174"/>
      <c r="K384" s="175"/>
      <c r="L384" s="176"/>
      <c r="M384" s="175"/>
      <c r="N384" s="176"/>
      <c r="O384" s="175"/>
      <c r="P384" s="122"/>
    </row>
    <row r="385" spans="6:16" s="63" customFormat="1" ht="15.75" customHeight="1" thickTop="1">
      <c r="F385" s="113"/>
      <c r="G385" s="114"/>
      <c r="H385" s="114"/>
      <c r="I385" s="429"/>
      <c r="J385" s="115"/>
      <c r="K385" s="116"/>
      <c r="L385" s="117"/>
      <c r="M385" s="116"/>
      <c r="N385" s="117"/>
      <c r="O385" s="116"/>
      <c r="P385" s="118"/>
    </row>
    <row r="386" ht="15">
      <c r="I386" s="31"/>
    </row>
    <row r="387" ht="16.5" customHeight="1">
      <c r="I387" s="31"/>
    </row>
    <row r="388" ht="15">
      <c r="I388" s="31"/>
    </row>
    <row r="389" ht="15">
      <c r="I389" s="31"/>
    </row>
    <row r="390" ht="15">
      <c r="I390" s="31"/>
    </row>
  </sheetData>
  <printOptions horizontalCentered="1"/>
  <pageMargins left="0" right="0" top="0.4" bottom="0.25" header="0" footer="0"/>
  <pageSetup fitToHeight="4" horizontalDpi="300" verticalDpi="300" orientation="portrait" scale="39" r:id="rId1"/>
  <rowBreaks count="4" manualBreakCount="4">
    <brk id="94" max="16" man="1"/>
    <brk id="192" max="16" man="1"/>
    <brk id="289" max="16" man="1"/>
    <brk id="38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9"/>
  <sheetViews>
    <sheetView showGridLines="0" view="pageBreakPreview" zoomScale="50" zoomScaleNormal="75" zoomScaleSheetLayoutView="50" workbookViewId="0" topLeftCell="A47">
      <selection activeCell="T33" sqref="T33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ht="16.5" customHeight="1">
      <c r="A1" s="7">
        <v>6</v>
      </c>
      <c r="B1" s="2" t="str">
        <f>(Marketable!B95)</f>
        <v>TABLE III - DETAIL OF TREASURY SECURITIES OUTSTANDING, MARCH 31, 2004 -- Continued</v>
      </c>
      <c r="C1" s="2"/>
      <c r="D1" s="2"/>
      <c r="E1" s="3"/>
      <c r="F1" s="3"/>
      <c r="G1" s="3"/>
      <c r="H1" s="3"/>
      <c r="I1" s="29"/>
      <c r="J1" s="3"/>
      <c r="K1" s="3"/>
      <c r="L1" s="3"/>
      <c r="M1" s="3"/>
      <c r="N1" s="3"/>
      <c r="O1" s="3"/>
      <c r="P1" s="2"/>
    </row>
    <row r="2" spans="1:16" ht="10.5" customHeight="1" thickBot="1">
      <c r="A2" s="7"/>
      <c r="B2" s="7"/>
      <c r="C2" s="7"/>
      <c r="D2" s="2"/>
      <c r="E2" s="3"/>
      <c r="F2" s="3"/>
      <c r="G2" s="3"/>
      <c r="H2" s="3"/>
      <c r="I2" s="29"/>
      <c r="J2" s="3"/>
      <c r="K2" s="3"/>
      <c r="L2" s="3"/>
      <c r="M2" s="3"/>
      <c r="N2" s="3"/>
      <c r="O2" s="3"/>
      <c r="P2" s="2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26"/>
      <c r="K3" s="26"/>
      <c r="L3" s="32"/>
      <c r="M3" s="32"/>
      <c r="N3" s="32"/>
      <c r="O3" s="32"/>
      <c r="P3" s="32"/>
    </row>
    <row r="4" spans="7:16" ht="15.75" customHeight="1">
      <c r="G4" s="16" t="s">
        <v>334</v>
      </c>
      <c r="H4" s="16" t="s">
        <v>335</v>
      </c>
      <c r="I4" s="29"/>
      <c r="J4" s="34" t="s">
        <v>336</v>
      </c>
      <c r="K4" s="16" t="s">
        <v>337</v>
      </c>
      <c r="L4" s="3"/>
      <c r="M4" s="3"/>
      <c r="N4" s="3"/>
      <c r="O4" s="3"/>
      <c r="P4" s="3"/>
    </row>
    <row r="5" spans="1:11" ht="15.75" customHeight="1">
      <c r="A5" s="3" t="s">
        <v>338</v>
      </c>
      <c r="B5" s="3"/>
      <c r="C5" s="3"/>
      <c r="D5" s="3"/>
      <c r="E5" s="3"/>
      <c r="F5" s="3"/>
      <c r="G5" s="16" t="s">
        <v>339</v>
      </c>
      <c r="H5" s="16" t="s">
        <v>340</v>
      </c>
      <c r="I5" s="29"/>
      <c r="J5" s="34" t="s">
        <v>341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35"/>
      <c r="K6" s="37" t="s">
        <v>342</v>
      </c>
      <c r="L6" s="166"/>
      <c r="M6" s="37" t="s">
        <v>93</v>
      </c>
      <c r="N6" s="38"/>
      <c r="O6" s="37" t="s">
        <v>1007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6"/>
      <c r="J7" s="14"/>
      <c r="K7" s="16"/>
      <c r="L7" s="13"/>
      <c r="M7" s="16"/>
      <c r="N7" s="97"/>
      <c r="O7" s="16"/>
      <c r="P7" s="97"/>
    </row>
    <row r="8" spans="1:20" ht="18">
      <c r="A8" s="23" t="s">
        <v>1011</v>
      </c>
      <c r="B8" s="22"/>
      <c r="C8" s="22"/>
      <c r="D8" s="22"/>
      <c r="E8" s="7"/>
      <c r="F8" s="7"/>
      <c r="G8" s="14"/>
      <c r="H8" s="14"/>
      <c r="J8" s="14"/>
      <c r="K8" s="14"/>
      <c r="L8" s="25"/>
      <c r="M8" s="14"/>
      <c r="O8" s="14"/>
      <c r="T8" s="17"/>
    </row>
    <row r="9" spans="2:15" ht="21" customHeight="1">
      <c r="B9" s="9" t="s">
        <v>616</v>
      </c>
      <c r="G9" s="14"/>
      <c r="H9" s="14"/>
      <c r="J9" s="14"/>
      <c r="K9" s="14"/>
      <c r="L9" s="25"/>
      <c r="M9" s="14"/>
      <c r="O9" s="14"/>
    </row>
    <row r="10" spans="3:16" ht="16.5" customHeight="1">
      <c r="C10" s="9" t="s">
        <v>1121</v>
      </c>
      <c r="G10" s="91">
        <v>32808</v>
      </c>
      <c r="H10" s="92">
        <v>43753</v>
      </c>
      <c r="I10" s="3"/>
      <c r="J10" s="91">
        <v>43753</v>
      </c>
      <c r="K10" s="40">
        <v>4522.068</v>
      </c>
      <c r="L10" s="25"/>
      <c r="M10" s="47" t="s">
        <v>98</v>
      </c>
      <c r="N10" s="167"/>
      <c r="O10" s="40">
        <f aca="true" t="shared" si="0" ref="O10:O17">K10+M10</f>
        <v>4522.068</v>
      </c>
      <c r="P10" s="21"/>
    </row>
    <row r="11" spans="3:16" ht="16.5" customHeight="1">
      <c r="C11" s="9" t="s">
        <v>1121</v>
      </c>
      <c r="G11" s="91">
        <v>33070</v>
      </c>
      <c r="H11" s="92">
        <v>44027</v>
      </c>
      <c r="I11" s="3"/>
      <c r="J11" s="91">
        <v>44027</v>
      </c>
      <c r="K11" s="40">
        <v>5026.13</v>
      </c>
      <c r="L11" s="20"/>
      <c r="M11" s="47" t="s">
        <v>98</v>
      </c>
      <c r="N11" s="27"/>
      <c r="O11" s="40">
        <f t="shared" si="0"/>
        <v>5026.13</v>
      </c>
      <c r="P11" s="21"/>
    </row>
    <row r="12" spans="3:16" ht="16.5" customHeight="1">
      <c r="C12" s="9" t="s">
        <v>1122</v>
      </c>
      <c r="G12" s="91">
        <v>33151</v>
      </c>
      <c r="H12" s="92">
        <v>44119</v>
      </c>
      <c r="I12" s="3"/>
      <c r="J12" s="91">
        <v>44119</v>
      </c>
      <c r="K12" s="40">
        <v>2.75</v>
      </c>
      <c r="L12" s="20"/>
      <c r="M12" s="47" t="s">
        <v>98</v>
      </c>
      <c r="N12" s="27"/>
      <c r="O12" s="40">
        <f t="shared" si="0"/>
        <v>2.75</v>
      </c>
      <c r="P12" s="21"/>
    </row>
    <row r="13" spans="3:16" ht="16.5" customHeight="1">
      <c r="C13" s="9" t="s">
        <v>1123</v>
      </c>
      <c r="G13" s="91">
        <v>33151</v>
      </c>
      <c r="H13" s="92">
        <v>44119</v>
      </c>
      <c r="I13" s="3"/>
      <c r="J13" s="91">
        <v>44119</v>
      </c>
      <c r="K13" s="40">
        <v>5000</v>
      </c>
      <c r="L13" s="20"/>
      <c r="M13" s="47" t="s">
        <v>98</v>
      </c>
      <c r="N13" s="27"/>
      <c r="O13" s="40">
        <f>K13+M13</f>
        <v>5000</v>
      </c>
      <c r="P13" s="21"/>
    </row>
    <row r="14" spans="3:16" ht="16.5" customHeight="1">
      <c r="C14" s="9" t="s">
        <v>1121</v>
      </c>
      <c r="G14" s="91">
        <v>33252</v>
      </c>
      <c r="H14" s="92">
        <v>44211</v>
      </c>
      <c r="I14" s="3"/>
      <c r="J14" s="91">
        <v>44211</v>
      </c>
      <c r="K14" s="40">
        <v>4940.921</v>
      </c>
      <c r="L14" s="20"/>
      <c r="M14" s="47" t="s">
        <v>98</v>
      </c>
      <c r="N14" s="27"/>
      <c r="O14" s="40">
        <f t="shared" si="0"/>
        <v>4940.921</v>
      </c>
      <c r="P14" s="21"/>
    </row>
    <row r="15" spans="3:16" ht="16.5" customHeight="1">
      <c r="C15" s="9" t="s">
        <v>1121</v>
      </c>
      <c r="G15" s="91">
        <v>32902</v>
      </c>
      <c r="H15" s="92">
        <v>47498</v>
      </c>
      <c r="I15" s="3"/>
      <c r="J15" s="91">
        <v>47498</v>
      </c>
      <c r="K15" s="40">
        <v>5002.232</v>
      </c>
      <c r="L15" s="20"/>
      <c r="M15" s="47" t="s">
        <v>98</v>
      </c>
      <c r="N15" s="27"/>
      <c r="O15" s="40">
        <f t="shared" si="0"/>
        <v>5002.232</v>
      </c>
      <c r="P15" s="21"/>
    </row>
    <row r="16" spans="3:16" ht="16.5" customHeight="1">
      <c r="C16" s="9" t="s">
        <v>1121</v>
      </c>
      <c r="G16" s="91">
        <v>32979</v>
      </c>
      <c r="H16" s="92">
        <v>47588</v>
      </c>
      <c r="I16" s="3"/>
      <c r="J16" s="91">
        <v>47588</v>
      </c>
      <c r="K16" s="40">
        <v>3501.265</v>
      </c>
      <c r="L16" s="20"/>
      <c r="M16" s="47" t="s">
        <v>98</v>
      </c>
      <c r="N16" s="27"/>
      <c r="O16" s="40">
        <f t="shared" si="0"/>
        <v>3501.265</v>
      </c>
      <c r="P16" s="21"/>
    </row>
    <row r="17" spans="3:16" ht="16.5" customHeight="1">
      <c r="C17" s="9" t="s">
        <v>1121</v>
      </c>
      <c r="G17" s="91">
        <v>33252</v>
      </c>
      <c r="H17" s="92">
        <v>47588</v>
      </c>
      <c r="I17" s="3"/>
      <c r="J17" s="91">
        <v>47588</v>
      </c>
      <c r="K17" s="40">
        <v>1999.814</v>
      </c>
      <c r="L17" s="20"/>
      <c r="M17" s="47" t="s">
        <v>98</v>
      </c>
      <c r="N17" s="27"/>
      <c r="O17" s="40">
        <f t="shared" si="0"/>
        <v>1999.814</v>
      </c>
      <c r="P17" s="21"/>
    </row>
    <row r="18" spans="2:16" ht="21" customHeight="1" thickBot="1">
      <c r="B18" s="224" t="s">
        <v>1069</v>
      </c>
      <c r="G18" s="34" t="s">
        <v>99</v>
      </c>
      <c r="H18" s="16" t="s">
        <v>99</v>
      </c>
      <c r="I18" s="3"/>
      <c r="J18" s="34" t="s">
        <v>99</v>
      </c>
      <c r="K18" s="218">
        <f>SUM(K10:K17)</f>
        <v>29995.179999999997</v>
      </c>
      <c r="L18" s="233"/>
      <c r="M18" s="221" t="s">
        <v>98</v>
      </c>
      <c r="N18" s="222"/>
      <c r="O18" s="218">
        <f>SUM(O10:O17)</f>
        <v>29995.179999999997</v>
      </c>
      <c r="P18" s="234"/>
    </row>
    <row r="19" spans="7:15" ht="15.75" customHeight="1" thickTop="1">
      <c r="G19" s="14"/>
      <c r="H19" s="14"/>
      <c r="I19" s="31"/>
      <c r="J19" s="14"/>
      <c r="K19" s="14"/>
      <c r="L19" s="25"/>
      <c r="M19" s="14"/>
      <c r="O19" s="14"/>
    </row>
    <row r="20" spans="2:15" ht="21" customHeight="1">
      <c r="B20" s="9" t="s">
        <v>1070</v>
      </c>
      <c r="E20" s="19"/>
      <c r="F20" s="154"/>
      <c r="G20" s="14"/>
      <c r="H20" s="14"/>
      <c r="J20" s="14"/>
      <c r="K20" s="14"/>
      <c r="L20" s="25"/>
      <c r="M20" s="165"/>
      <c r="O20" s="14"/>
    </row>
    <row r="21" spans="3:16" ht="16.5" customHeight="1">
      <c r="C21" s="132" t="s">
        <v>131</v>
      </c>
      <c r="G21" s="52">
        <v>38037</v>
      </c>
      <c r="H21" s="92">
        <v>38127</v>
      </c>
      <c r="I21" s="3"/>
      <c r="J21" s="92">
        <v>38127</v>
      </c>
      <c r="K21" s="40">
        <v>300</v>
      </c>
      <c r="L21" s="21"/>
      <c r="M21" s="47" t="s">
        <v>98</v>
      </c>
      <c r="N21" s="27"/>
      <c r="O21" s="40">
        <f aca="true" t="shared" si="1" ref="O21:O26">K21+M21</f>
        <v>300</v>
      </c>
      <c r="P21" s="41"/>
    </row>
    <row r="22" spans="3:16" ht="16.5" customHeight="1">
      <c r="C22" s="132" t="s">
        <v>14</v>
      </c>
      <c r="G22" s="52">
        <v>37994</v>
      </c>
      <c r="H22" s="92">
        <v>38176</v>
      </c>
      <c r="I22" s="3"/>
      <c r="J22" s="91">
        <v>38176</v>
      </c>
      <c r="K22" s="40">
        <v>100</v>
      </c>
      <c r="L22" s="21"/>
      <c r="M22" s="47" t="s">
        <v>98</v>
      </c>
      <c r="N22" s="27"/>
      <c r="O22" s="40">
        <f t="shared" si="1"/>
        <v>100</v>
      </c>
      <c r="P22" s="41"/>
    </row>
    <row r="23" spans="3:16" ht="16.5" customHeight="1">
      <c r="C23" s="132" t="s">
        <v>132</v>
      </c>
      <c r="G23" s="52">
        <v>38037</v>
      </c>
      <c r="H23" s="92">
        <v>38201</v>
      </c>
      <c r="I23" s="3"/>
      <c r="J23" s="92">
        <v>38201</v>
      </c>
      <c r="K23" s="40">
        <v>200</v>
      </c>
      <c r="L23" s="21"/>
      <c r="M23" s="47" t="s">
        <v>98</v>
      </c>
      <c r="N23" s="27"/>
      <c r="O23" s="40">
        <f t="shared" si="1"/>
        <v>200</v>
      </c>
      <c r="P23" s="41"/>
    </row>
    <row r="24" spans="3:16" ht="16.5" customHeight="1">
      <c r="C24" s="132" t="s">
        <v>132</v>
      </c>
      <c r="G24" s="52">
        <v>38037</v>
      </c>
      <c r="H24" s="92">
        <v>38201</v>
      </c>
      <c r="I24" s="3"/>
      <c r="J24" s="92">
        <v>38201</v>
      </c>
      <c r="K24" s="40">
        <v>350</v>
      </c>
      <c r="L24" s="21"/>
      <c r="M24" s="47" t="s">
        <v>98</v>
      </c>
      <c r="N24" s="27"/>
      <c r="O24" s="40">
        <f t="shared" si="1"/>
        <v>350</v>
      </c>
      <c r="P24" s="41"/>
    </row>
    <row r="25" spans="3:16" ht="16.5" customHeight="1">
      <c r="C25" s="9" t="s">
        <v>1124</v>
      </c>
      <c r="F25" s="154">
        <v>9</v>
      </c>
      <c r="G25" s="91">
        <v>33225</v>
      </c>
      <c r="H25" s="92">
        <v>43921</v>
      </c>
      <c r="I25" s="3"/>
      <c r="J25" s="91">
        <v>43921</v>
      </c>
      <c r="K25" s="40">
        <v>7258.00959</v>
      </c>
      <c r="L25" s="21"/>
      <c r="M25" s="51">
        <v>-4536.703</v>
      </c>
      <c r="N25" s="21"/>
      <c r="O25" s="40">
        <f t="shared" si="1"/>
        <v>2721.3065899999992</v>
      </c>
      <c r="P25" s="21"/>
    </row>
    <row r="26" spans="3:16" ht="16.5" customHeight="1">
      <c r="C26" s="9" t="s">
        <v>666</v>
      </c>
      <c r="F26" s="154">
        <v>9</v>
      </c>
      <c r="G26" s="91">
        <v>34066</v>
      </c>
      <c r="H26" s="92">
        <v>45016</v>
      </c>
      <c r="I26" s="3"/>
      <c r="J26" s="91">
        <v>45016</v>
      </c>
      <c r="K26" s="40">
        <v>6685</v>
      </c>
      <c r="L26" s="21"/>
      <c r="M26" s="51">
        <v>-3624.942</v>
      </c>
      <c r="N26" s="184"/>
      <c r="O26" s="40">
        <f t="shared" si="1"/>
        <v>3060.058</v>
      </c>
      <c r="P26" s="21"/>
    </row>
    <row r="27" spans="2:16" ht="20.25" customHeight="1" thickBot="1">
      <c r="B27" s="224" t="s">
        <v>1073</v>
      </c>
      <c r="G27" s="34" t="s">
        <v>99</v>
      </c>
      <c r="H27" s="16" t="s">
        <v>99</v>
      </c>
      <c r="I27" s="3"/>
      <c r="J27" s="34" t="s">
        <v>99</v>
      </c>
      <c r="K27" s="218">
        <f>SUM(K21:K26)</f>
        <v>14893.00959</v>
      </c>
      <c r="L27" s="219"/>
      <c r="M27" s="232">
        <f>SUM(M21:M26)</f>
        <v>-8161.645</v>
      </c>
      <c r="N27" s="219"/>
      <c r="O27" s="218">
        <f>SUM(O21:O26)</f>
        <v>6731.364589999999</v>
      </c>
      <c r="P27" s="219"/>
    </row>
    <row r="28" spans="7:15" ht="15.75" customHeight="1" thickTop="1">
      <c r="G28" s="14"/>
      <c r="H28" s="14"/>
      <c r="J28" s="14"/>
      <c r="K28" s="14"/>
      <c r="M28" s="14"/>
      <c r="O28" s="14"/>
    </row>
    <row r="29" spans="2:15" ht="21" customHeight="1">
      <c r="B29" s="9" t="s">
        <v>1074</v>
      </c>
      <c r="G29" s="14"/>
      <c r="H29" s="14"/>
      <c r="J29" s="14"/>
      <c r="K29" s="14"/>
      <c r="M29" s="14"/>
      <c r="O29" s="14"/>
    </row>
    <row r="30" spans="3:15" ht="16.5" customHeight="1">
      <c r="C30" s="9" t="s">
        <v>1075</v>
      </c>
      <c r="G30" s="14"/>
      <c r="H30" s="14"/>
      <c r="J30" s="14"/>
      <c r="K30" s="40"/>
      <c r="M30" s="40" t="s">
        <v>1004</v>
      </c>
      <c r="O30" s="40"/>
    </row>
    <row r="31" spans="3:15" ht="16.5" customHeight="1">
      <c r="C31" s="9" t="s">
        <v>1076</v>
      </c>
      <c r="G31" s="34" t="s">
        <v>615</v>
      </c>
      <c r="H31" s="16" t="s">
        <v>99</v>
      </c>
      <c r="I31" s="3"/>
      <c r="J31" s="34" t="s">
        <v>1077</v>
      </c>
      <c r="K31" s="40">
        <v>52.850988</v>
      </c>
      <c r="M31" s="51">
        <v>-51.797988</v>
      </c>
      <c r="N31" s="43"/>
      <c r="O31" s="53">
        <f>(K31+M31)</f>
        <v>1.0530000000000044</v>
      </c>
    </row>
    <row r="32" spans="2:16" ht="20.25" customHeight="1" thickBot="1">
      <c r="B32" s="224" t="s">
        <v>1078</v>
      </c>
      <c r="G32" s="34" t="s">
        <v>99</v>
      </c>
      <c r="H32" s="16" t="s">
        <v>99</v>
      </c>
      <c r="I32" s="3"/>
      <c r="J32" s="34" t="s">
        <v>99</v>
      </c>
      <c r="K32" s="218">
        <f>K31</f>
        <v>52.850988</v>
      </c>
      <c r="L32" s="231"/>
      <c r="M32" s="218">
        <f>M31</f>
        <v>-51.797988</v>
      </c>
      <c r="N32" s="231"/>
      <c r="O32" s="235">
        <f>(K32+M32)</f>
        <v>1.0530000000000044</v>
      </c>
      <c r="P32" s="231"/>
    </row>
    <row r="33" spans="7:15" ht="15.75" customHeight="1" thickTop="1">
      <c r="G33" s="14"/>
      <c r="H33" s="14"/>
      <c r="J33" s="14"/>
      <c r="K33" s="40"/>
      <c r="M33" s="40"/>
      <c r="O33" s="40"/>
    </row>
    <row r="34" spans="2:15" ht="21" customHeight="1">
      <c r="B34" s="9" t="s">
        <v>1082</v>
      </c>
      <c r="G34" s="14"/>
      <c r="H34" s="14"/>
      <c r="J34" s="14"/>
      <c r="K34" s="14"/>
      <c r="M34" s="14"/>
      <c r="O34" s="14"/>
    </row>
    <row r="35" spans="3:15" ht="16.5" customHeight="1">
      <c r="C35" s="9" t="s">
        <v>1083</v>
      </c>
      <c r="G35" s="14"/>
      <c r="H35" s="14"/>
      <c r="J35" s="14"/>
      <c r="K35" s="40"/>
      <c r="M35" s="40"/>
      <c r="O35" s="40"/>
    </row>
    <row r="36" spans="3:15" ht="16.5" customHeight="1">
      <c r="C36" s="9" t="s">
        <v>1084</v>
      </c>
      <c r="G36" s="34" t="s">
        <v>615</v>
      </c>
      <c r="H36" s="16" t="s">
        <v>99</v>
      </c>
      <c r="I36" s="3"/>
      <c r="J36" s="34" t="s">
        <v>1085</v>
      </c>
      <c r="K36" s="40">
        <v>222947.846</v>
      </c>
      <c r="M36" s="51">
        <v>-208819.484</v>
      </c>
      <c r="N36" s="43"/>
      <c r="O36" s="93">
        <f>(K36+M36)</f>
        <v>14128.361999999994</v>
      </c>
    </row>
    <row r="37" spans="3:15" ht="16.5" customHeight="1">
      <c r="C37" s="9" t="s">
        <v>1086</v>
      </c>
      <c r="G37" s="14"/>
      <c r="H37" s="14"/>
      <c r="J37" s="14"/>
      <c r="K37" s="40"/>
      <c r="M37" s="51" t="s">
        <v>1004</v>
      </c>
      <c r="N37" s="43"/>
      <c r="O37" s="40"/>
    </row>
    <row r="38" spans="3:15" ht="16.5" customHeight="1">
      <c r="C38" s="9" t="s">
        <v>1087</v>
      </c>
      <c r="G38" s="34" t="s">
        <v>615</v>
      </c>
      <c r="H38" s="16" t="s">
        <v>99</v>
      </c>
      <c r="I38" s="3"/>
      <c r="J38" s="34" t="s">
        <v>615</v>
      </c>
      <c r="K38" s="40">
        <v>377112.615</v>
      </c>
      <c r="M38" s="51">
        <v>-255748.867</v>
      </c>
      <c r="N38" s="43"/>
      <c r="O38" s="93">
        <f>(K38+M38)</f>
        <v>121363.74799999999</v>
      </c>
    </row>
    <row r="39" spans="3:15" ht="16.5" customHeight="1">
      <c r="C39" s="9" t="s">
        <v>1089</v>
      </c>
      <c r="G39" s="14"/>
      <c r="H39" s="14"/>
      <c r="J39" s="14"/>
      <c r="K39" s="40"/>
      <c r="M39" s="51" t="s">
        <v>1004</v>
      </c>
      <c r="N39" s="43"/>
      <c r="O39" s="40"/>
    </row>
    <row r="40" spans="3:15" ht="16.5" customHeight="1">
      <c r="C40" s="9" t="s">
        <v>1087</v>
      </c>
      <c r="G40" s="34" t="s">
        <v>615</v>
      </c>
      <c r="H40" s="16" t="s">
        <v>99</v>
      </c>
      <c r="I40" s="3"/>
      <c r="J40" s="34" t="s">
        <v>615</v>
      </c>
      <c r="K40" s="40">
        <v>45938.06</v>
      </c>
      <c r="M40" s="51">
        <v>-25756.169</v>
      </c>
      <c r="N40" s="43"/>
      <c r="O40" s="93">
        <f>(K40+M40)</f>
        <v>20181.890999999996</v>
      </c>
    </row>
    <row r="41" spans="3:16" ht="16.5" customHeight="1">
      <c r="C41" s="9" t="s">
        <v>514</v>
      </c>
      <c r="F41" s="154">
        <v>9</v>
      </c>
      <c r="G41" s="34" t="s">
        <v>615</v>
      </c>
      <c r="H41" s="16" t="s">
        <v>99</v>
      </c>
      <c r="I41" s="3"/>
      <c r="J41" s="34" t="s">
        <v>515</v>
      </c>
      <c r="K41" s="40">
        <v>4008.498</v>
      </c>
      <c r="L41" s="63"/>
      <c r="M41" s="51">
        <v>-3971.087</v>
      </c>
      <c r="N41" s="390"/>
      <c r="O41" s="93">
        <f>(K41+M41)</f>
        <v>37.41100000000006</v>
      </c>
      <c r="P41" s="63"/>
    </row>
    <row r="42" spans="3:16" ht="16.5" customHeight="1">
      <c r="C42" s="9" t="s">
        <v>1088</v>
      </c>
      <c r="G42" s="34" t="s">
        <v>615</v>
      </c>
      <c r="H42" s="16" t="s">
        <v>99</v>
      </c>
      <c r="I42" s="3"/>
      <c r="J42" s="34" t="s">
        <v>99</v>
      </c>
      <c r="K42" s="72">
        <v>300.2574</v>
      </c>
      <c r="L42" s="73"/>
      <c r="M42" s="177">
        <v>-299.8575</v>
      </c>
      <c r="N42" s="178"/>
      <c r="O42" s="414" t="s">
        <v>579</v>
      </c>
      <c r="P42" s="73"/>
    </row>
    <row r="43" spans="2:16" ht="21" customHeight="1">
      <c r="B43" s="224" t="s">
        <v>1090</v>
      </c>
      <c r="C43" s="9"/>
      <c r="F43" s="66"/>
      <c r="G43" s="34"/>
      <c r="H43" s="16"/>
      <c r="I43" s="3"/>
      <c r="J43" s="34"/>
      <c r="K43" s="40"/>
      <c r="L43" s="63"/>
      <c r="M43" s="40"/>
      <c r="N43" s="63"/>
      <c r="O43" s="93"/>
      <c r="P43" s="63"/>
    </row>
    <row r="44" spans="2:16" ht="20.25" customHeight="1" thickBot="1">
      <c r="B44" s="224" t="s">
        <v>1091</v>
      </c>
      <c r="G44" s="34" t="s">
        <v>99</v>
      </c>
      <c r="H44" s="16" t="s">
        <v>99</v>
      </c>
      <c r="I44" s="3"/>
      <c r="J44" s="34" t="s">
        <v>99</v>
      </c>
      <c r="K44" s="235">
        <f>SUM(K35:K42)</f>
        <v>650307.2764</v>
      </c>
      <c r="L44" s="236"/>
      <c r="M44" s="235">
        <f>SUM(M35:M42)</f>
        <v>-494595.4645</v>
      </c>
      <c r="N44" s="237"/>
      <c r="O44" s="235">
        <f>SUM(O35:O42)+0.3999</f>
        <v>155711.81189999997</v>
      </c>
      <c r="P44" s="236"/>
    </row>
    <row r="45" spans="7:15" ht="15.75" customHeight="1" thickTop="1">
      <c r="G45" s="14"/>
      <c r="H45" s="14"/>
      <c r="J45" s="14"/>
      <c r="K45" s="14"/>
      <c r="L45" s="21"/>
      <c r="M45" s="14"/>
      <c r="O45" s="14"/>
    </row>
    <row r="46" spans="2:15" ht="21" customHeight="1">
      <c r="B46" s="9" t="s">
        <v>1092</v>
      </c>
      <c r="G46" s="14"/>
      <c r="H46" s="14"/>
      <c r="J46" s="14"/>
      <c r="K46" s="14"/>
      <c r="L46" s="21"/>
      <c r="M46" s="14"/>
      <c r="O46" s="14"/>
    </row>
    <row r="47" spans="3:15" ht="18" customHeight="1">
      <c r="C47" s="9" t="s">
        <v>1093</v>
      </c>
      <c r="F47" s="154" t="s">
        <v>4</v>
      </c>
      <c r="G47" s="14"/>
      <c r="H47" s="14"/>
      <c r="J47" s="14"/>
      <c r="K47" s="14"/>
      <c r="M47" s="165"/>
      <c r="O47" s="14"/>
    </row>
    <row r="48" spans="4:15" ht="16.5" customHeight="1">
      <c r="D48" s="9" t="s">
        <v>237</v>
      </c>
      <c r="F48" s="154"/>
      <c r="G48" s="34" t="s">
        <v>615</v>
      </c>
      <c r="H48" s="16" t="s">
        <v>238</v>
      </c>
      <c r="I48" s="3"/>
      <c r="J48" s="34" t="s">
        <v>239</v>
      </c>
      <c r="K48" s="40">
        <v>99864.263</v>
      </c>
      <c r="M48" s="51">
        <v>-73635.609</v>
      </c>
      <c r="N48" s="43"/>
      <c r="O48" s="93">
        <f>+K48+M48</f>
        <v>26228.65400000001</v>
      </c>
    </row>
    <row r="49" spans="4:15" ht="16.5" customHeight="1">
      <c r="D49" s="9" t="s">
        <v>240</v>
      </c>
      <c r="F49" s="154">
        <v>11</v>
      </c>
      <c r="G49" s="34" t="s">
        <v>615</v>
      </c>
      <c r="H49" s="16" t="s">
        <v>238</v>
      </c>
      <c r="I49" s="3"/>
      <c r="J49" s="34" t="s">
        <v>239</v>
      </c>
      <c r="K49" s="40">
        <v>247900.067</v>
      </c>
      <c r="M49" s="51">
        <v>-118255.658</v>
      </c>
      <c r="N49" s="43"/>
      <c r="O49" s="93">
        <f>+K49+M49</f>
        <v>129644.40900000001</v>
      </c>
    </row>
    <row r="50" spans="4:15" ht="16.5" customHeight="1">
      <c r="D50" s="132" t="s">
        <v>241</v>
      </c>
      <c r="F50" s="154"/>
      <c r="G50" s="14"/>
      <c r="H50" s="14"/>
      <c r="J50" s="14"/>
      <c r="K50" s="14"/>
      <c r="M50" s="165"/>
      <c r="N50" s="43"/>
      <c r="O50" s="14"/>
    </row>
    <row r="51" spans="4:15" ht="16.5" customHeight="1">
      <c r="D51" s="9" t="s">
        <v>244</v>
      </c>
      <c r="F51" s="154"/>
      <c r="G51" s="34" t="s">
        <v>615</v>
      </c>
      <c r="H51" s="16" t="s">
        <v>238</v>
      </c>
      <c r="I51" s="3"/>
      <c r="J51" s="34" t="s">
        <v>239</v>
      </c>
      <c r="K51" s="40">
        <v>129.363</v>
      </c>
      <c r="M51" s="51">
        <v>-336.057</v>
      </c>
      <c r="N51" s="43"/>
      <c r="O51" s="93">
        <f>+K51+M51</f>
        <v>-206.69400000000002</v>
      </c>
    </row>
    <row r="52" spans="4:15" ht="16.5" customHeight="1">
      <c r="D52" s="9" t="s">
        <v>245</v>
      </c>
      <c r="F52" s="157"/>
      <c r="G52" s="34" t="s">
        <v>615</v>
      </c>
      <c r="H52" s="16" t="s">
        <v>238</v>
      </c>
      <c r="I52" s="3"/>
      <c r="J52" s="34" t="s">
        <v>1077</v>
      </c>
      <c r="K52" s="40">
        <v>3658.397</v>
      </c>
      <c r="M52" s="51">
        <v>-3236.52</v>
      </c>
      <c r="N52" s="43"/>
      <c r="O52" s="93">
        <f>+K52+M52</f>
        <v>421.87699999999995</v>
      </c>
    </row>
    <row r="53" spans="4:15" ht="16.5" customHeight="1">
      <c r="D53" s="9" t="s">
        <v>246</v>
      </c>
      <c r="F53" s="157"/>
      <c r="G53" s="34" t="s">
        <v>615</v>
      </c>
      <c r="H53" s="16" t="s">
        <v>238</v>
      </c>
      <c r="I53" s="3"/>
      <c r="J53" s="34" t="s">
        <v>1077</v>
      </c>
      <c r="K53" s="40">
        <v>20057.492</v>
      </c>
      <c r="M53" s="51">
        <v>-6558.285</v>
      </c>
      <c r="N53" s="43"/>
      <c r="O53" s="93">
        <f>(K53+M53)</f>
        <v>13499.206999999999</v>
      </c>
    </row>
    <row r="54" spans="4:15" ht="16.5" customHeight="1">
      <c r="D54" s="9" t="s">
        <v>249</v>
      </c>
      <c r="F54" s="157"/>
      <c r="G54" s="34" t="s">
        <v>615</v>
      </c>
      <c r="H54" s="16" t="s">
        <v>238</v>
      </c>
      <c r="I54" s="3"/>
      <c r="J54" s="34" t="s">
        <v>1077</v>
      </c>
      <c r="K54" s="40">
        <v>17.61</v>
      </c>
      <c r="M54" s="51" t="s">
        <v>769</v>
      </c>
      <c r="N54" s="27"/>
      <c r="O54" s="93">
        <f>(K54+M54)</f>
        <v>17.61</v>
      </c>
    </row>
    <row r="55" spans="4:15" ht="16.5" customHeight="1">
      <c r="D55" s="9" t="s">
        <v>954</v>
      </c>
      <c r="F55" s="154">
        <v>11</v>
      </c>
      <c r="G55" s="34" t="s">
        <v>615</v>
      </c>
      <c r="H55" s="16" t="s">
        <v>238</v>
      </c>
      <c r="I55" s="3"/>
      <c r="J55" s="34" t="s">
        <v>239</v>
      </c>
      <c r="K55" s="40">
        <v>25224.276</v>
      </c>
      <c r="M55" s="51">
        <v>-1406.513</v>
      </c>
      <c r="N55" s="43"/>
      <c r="O55" s="93">
        <f>(K55+M55)</f>
        <v>23817.763000000003</v>
      </c>
    </row>
    <row r="56" spans="3:16" ht="18" customHeight="1">
      <c r="C56" s="9" t="s">
        <v>955</v>
      </c>
      <c r="F56" s="157"/>
      <c r="G56" s="34" t="s">
        <v>99</v>
      </c>
      <c r="H56" s="16" t="s">
        <v>99</v>
      </c>
      <c r="I56" s="3"/>
      <c r="J56" s="34" t="s">
        <v>99</v>
      </c>
      <c r="K56" s="56">
        <f>SUM(K48:K55)</f>
        <v>396851.46800000005</v>
      </c>
      <c r="L56" s="57"/>
      <c r="M56" s="56">
        <f>SUM(M48:M55)+0.00397</f>
        <v>-203428.63803</v>
      </c>
      <c r="N56" s="57"/>
      <c r="O56" s="56">
        <f>+K56+M56+0.0021322</f>
        <v>193422.83210220005</v>
      </c>
      <c r="P56" s="57"/>
    </row>
    <row r="57" spans="3:15" ht="16.5" customHeight="1">
      <c r="C57" s="9" t="s">
        <v>956</v>
      </c>
      <c r="F57" s="157"/>
      <c r="G57" s="14"/>
      <c r="H57" s="14"/>
      <c r="J57" s="14"/>
      <c r="K57" s="14"/>
      <c r="M57" s="40"/>
      <c r="O57" s="14"/>
    </row>
    <row r="58" spans="3:15" ht="16.5" customHeight="1">
      <c r="C58" s="9" t="s">
        <v>957</v>
      </c>
      <c r="F58" s="156" t="s">
        <v>5</v>
      </c>
      <c r="G58" s="34" t="s">
        <v>615</v>
      </c>
      <c r="H58" s="16" t="s">
        <v>238</v>
      </c>
      <c r="I58" s="3"/>
      <c r="J58" s="34" t="s">
        <v>239</v>
      </c>
      <c r="K58" s="40">
        <v>82.663</v>
      </c>
      <c r="M58" s="40">
        <v>-70.09</v>
      </c>
      <c r="O58" s="93">
        <f>(K58+M58)</f>
        <v>12.572999999999993</v>
      </c>
    </row>
    <row r="59" spans="3:16" ht="16.5" customHeight="1">
      <c r="C59" s="9" t="s">
        <v>958</v>
      </c>
      <c r="F59" s="157"/>
      <c r="G59" s="14"/>
      <c r="H59" s="14"/>
      <c r="J59" s="14"/>
      <c r="K59" s="14"/>
      <c r="M59" s="40"/>
      <c r="O59" s="14"/>
      <c r="P59" s="21"/>
    </row>
    <row r="60" spans="3:16" ht="16.5" customHeight="1">
      <c r="C60" s="9" t="s">
        <v>959</v>
      </c>
      <c r="F60" s="154">
        <v>13</v>
      </c>
      <c r="G60" s="34" t="s">
        <v>615</v>
      </c>
      <c r="H60" s="16" t="s">
        <v>238</v>
      </c>
      <c r="I60" s="3"/>
      <c r="J60" s="34" t="s">
        <v>239</v>
      </c>
      <c r="K60" s="40">
        <v>379.881</v>
      </c>
      <c r="L60" s="21"/>
      <c r="M60" s="40">
        <v>-332.153</v>
      </c>
      <c r="N60" s="21"/>
      <c r="O60" s="93">
        <f>(K60+M60)</f>
        <v>47.72799999999995</v>
      </c>
      <c r="P60" s="21"/>
    </row>
    <row r="61" spans="2:16" ht="20.25" customHeight="1">
      <c r="B61" s="9" t="s">
        <v>607</v>
      </c>
      <c r="G61" s="34"/>
      <c r="H61" s="16" t="s">
        <v>99</v>
      </c>
      <c r="I61" s="3"/>
      <c r="J61" s="34" t="s">
        <v>99</v>
      </c>
      <c r="K61" s="56">
        <f>K56+K58+K60</f>
        <v>397314.01200000005</v>
      </c>
      <c r="L61" s="57"/>
      <c r="M61" s="56">
        <f>M56+M58+M60</f>
        <v>-203830.88103</v>
      </c>
      <c r="N61" s="57"/>
      <c r="O61" s="56">
        <f>O56+O58+O60</f>
        <v>193483.13310220005</v>
      </c>
      <c r="P61" s="57"/>
    </row>
    <row r="62" spans="2:16" ht="15.75" customHeight="1">
      <c r="B62" s="9" t="s">
        <v>1182</v>
      </c>
      <c r="G62" s="34"/>
      <c r="H62" s="16" t="s">
        <v>99</v>
      </c>
      <c r="I62" s="3"/>
      <c r="J62" s="34" t="s">
        <v>99</v>
      </c>
      <c r="K62" s="40">
        <v>10982.193</v>
      </c>
      <c r="L62" s="21"/>
      <c r="M62" s="47" t="s">
        <v>98</v>
      </c>
      <c r="N62" s="27"/>
      <c r="O62" s="93">
        <f>+K62</f>
        <v>10982.193</v>
      </c>
      <c r="P62" s="63"/>
    </row>
    <row r="63" spans="2:16" ht="15.75" customHeight="1" thickBot="1">
      <c r="B63" s="224" t="s">
        <v>26</v>
      </c>
      <c r="G63" s="34"/>
      <c r="H63" s="16" t="s">
        <v>99</v>
      </c>
      <c r="I63" s="3"/>
      <c r="J63" s="34" t="s">
        <v>99</v>
      </c>
      <c r="K63" s="218">
        <f>+K61+K62</f>
        <v>408296.2050000001</v>
      </c>
      <c r="L63" s="231"/>
      <c r="M63" s="218">
        <f>+M61+M62</f>
        <v>-203830.88103</v>
      </c>
      <c r="N63" s="231"/>
      <c r="O63" s="218">
        <f>+O61+O62</f>
        <v>204465.32610220005</v>
      </c>
      <c r="P63" s="54"/>
    </row>
    <row r="64" spans="2:16" ht="15.75" customHeight="1" thickTop="1">
      <c r="B64" s="224"/>
      <c r="G64" s="131"/>
      <c r="H64" s="97"/>
      <c r="I64" s="3"/>
      <c r="J64" s="131"/>
      <c r="K64" s="268"/>
      <c r="L64" s="351"/>
      <c r="M64" s="268"/>
      <c r="N64" s="351"/>
      <c r="O64" s="268"/>
      <c r="P64" s="63"/>
    </row>
    <row r="65" spans="2:16" ht="15.75" customHeight="1">
      <c r="B65" s="224"/>
      <c r="G65" s="131"/>
      <c r="H65" s="97"/>
      <c r="I65" s="3"/>
      <c r="J65" s="131"/>
      <c r="K65" s="268"/>
      <c r="L65" s="351"/>
      <c r="M65" s="268"/>
      <c r="N65" s="351"/>
      <c r="O65" s="268"/>
      <c r="P65" s="63"/>
    </row>
    <row r="66" spans="2:16" ht="15.75" customHeight="1">
      <c r="B66" s="224"/>
      <c r="G66" s="131"/>
      <c r="H66" s="97"/>
      <c r="I66" s="3"/>
      <c r="J66" s="131"/>
      <c r="K66" s="268"/>
      <c r="L66" s="351"/>
      <c r="M66" s="268"/>
      <c r="N66" s="351"/>
      <c r="O66" s="268"/>
      <c r="P66" s="63"/>
    </row>
    <row r="67" spans="2:16" ht="15.75" customHeight="1">
      <c r="B67" s="224"/>
      <c r="G67" s="131"/>
      <c r="H67" s="97"/>
      <c r="I67" s="3"/>
      <c r="J67" s="131"/>
      <c r="K67" s="268"/>
      <c r="L67" s="351"/>
      <c r="M67" s="268"/>
      <c r="N67" s="351"/>
      <c r="O67" s="268"/>
      <c r="P67" s="63"/>
    </row>
    <row r="68" spans="2:16" ht="15.75" customHeight="1">
      <c r="B68" s="224"/>
      <c r="G68" s="131"/>
      <c r="H68" s="97"/>
      <c r="I68" s="3"/>
      <c r="J68" s="131"/>
      <c r="K68" s="268"/>
      <c r="L68" s="351"/>
      <c r="M68" s="268"/>
      <c r="N68" s="351"/>
      <c r="O68" s="268"/>
      <c r="P68" s="63"/>
    </row>
    <row r="69" spans="2:16" ht="15.75" customHeight="1">
      <c r="B69" s="224"/>
      <c r="G69" s="131"/>
      <c r="H69" s="97"/>
      <c r="I69" s="3"/>
      <c r="J69" s="131"/>
      <c r="K69" s="268"/>
      <c r="L69" s="351"/>
      <c r="M69" s="268"/>
      <c r="N69" s="351"/>
      <c r="O69" s="268"/>
      <c r="P69" s="63"/>
    </row>
    <row r="70" spans="2:16" ht="15.75" customHeight="1">
      <c r="B70" s="224"/>
      <c r="G70" s="131"/>
      <c r="H70" s="97"/>
      <c r="I70" s="3"/>
      <c r="J70" s="131"/>
      <c r="K70" s="268"/>
      <c r="L70" s="351"/>
      <c r="M70" s="268"/>
      <c r="N70" s="351"/>
      <c r="O70" s="268"/>
      <c r="P70" s="63"/>
    </row>
    <row r="71" spans="2:16" ht="15.75" customHeight="1">
      <c r="B71" s="224"/>
      <c r="G71" s="131"/>
      <c r="H71" s="97"/>
      <c r="I71" s="3"/>
      <c r="J71" s="131"/>
      <c r="K71" s="268"/>
      <c r="L71" s="351"/>
      <c r="M71" s="268"/>
      <c r="N71" s="351"/>
      <c r="O71" s="268"/>
      <c r="P71" s="63"/>
    </row>
    <row r="72" spans="2:16" ht="15.75" customHeight="1">
      <c r="B72" s="224"/>
      <c r="G72" s="131"/>
      <c r="H72" s="97"/>
      <c r="I72" s="3"/>
      <c r="J72" s="131"/>
      <c r="K72" s="268"/>
      <c r="L72" s="351"/>
      <c r="M72" s="268"/>
      <c r="N72" s="351"/>
      <c r="O72" s="268"/>
      <c r="P72" s="63"/>
    </row>
    <row r="73" spans="2:16" ht="15.75" customHeight="1">
      <c r="B73" s="224"/>
      <c r="G73" s="131"/>
      <c r="H73" s="97"/>
      <c r="I73" s="3"/>
      <c r="J73" s="131"/>
      <c r="K73" s="268"/>
      <c r="L73" s="351"/>
      <c r="M73" s="268"/>
      <c r="N73" s="351"/>
      <c r="O73" s="268"/>
      <c r="P73" s="63"/>
    </row>
    <row r="74" spans="2:16" ht="15.75" customHeight="1">
      <c r="B74" s="224"/>
      <c r="G74" s="131"/>
      <c r="H74" s="97"/>
      <c r="I74" s="3"/>
      <c r="J74" s="131"/>
      <c r="K74" s="268"/>
      <c r="L74" s="351"/>
      <c r="M74" s="268"/>
      <c r="N74" s="351"/>
      <c r="O74" s="268"/>
      <c r="P74" s="63"/>
    </row>
    <row r="75" spans="2:16" ht="15.75" customHeight="1">
      <c r="B75" s="224"/>
      <c r="G75" s="131"/>
      <c r="H75" s="97"/>
      <c r="I75" s="3"/>
      <c r="J75" s="131"/>
      <c r="K75" s="268"/>
      <c r="L75" s="351"/>
      <c r="M75" s="268"/>
      <c r="N75" s="351"/>
      <c r="O75" s="268"/>
      <c r="P75" s="63"/>
    </row>
    <row r="76" spans="2:16" ht="15.75" customHeight="1">
      <c r="B76" s="224"/>
      <c r="G76" s="131"/>
      <c r="H76" s="97"/>
      <c r="I76" s="3"/>
      <c r="J76" s="131"/>
      <c r="K76" s="268"/>
      <c r="L76" s="351"/>
      <c r="M76" s="268"/>
      <c r="N76" s="351"/>
      <c r="O76" s="268"/>
      <c r="P76" s="63"/>
    </row>
    <row r="77" spans="2:16" ht="15.75" customHeight="1">
      <c r="B77" s="224"/>
      <c r="G77" s="131"/>
      <c r="H77" s="97"/>
      <c r="I77" s="3"/>
      <c r="J77" s="131"/>
      <c r="K77" s="268"/>
      <c r="L77" s="351"/>
      <c r="M77" s="268"/>
      <c r="N77" s="351"/>
      <c r="O77" s="268"/>
      <c r="P77" s="63"/>
    </row>
    <row r="78" spans="2:16" ht="15.75" customHeight="1">
      <c r="B78" s="224"/>
      <c r="G78" s="131"/>
      <c r="H78" s="97"/>
      <c r="I78" s="3"/>
      <c r="J78" s="131"/>
      <c r="K78" s="268"/>
      <c r="L78" s="351"/>
      <c r="M78" s="268"/>
      <c r="N78" s="351"/>
      <c r="O78" s="268"/>
      <c r="P78" s="63"/>
    </row>
    <row r="79" spans="2:16" ht="15.75" customHeight="1">
      <c r="B79" s="224"/>
      <c r="G79" s="131"/>
      <c r="H79" s="97"/>
      <c r="I79" s="3"/>
      <c r="J79" s="131"/>
      <c r="K79" s="268"/>
      <c r="L79" s="351"/>
      <c r="M79" s="268"/>
      <c r="N79" s="351"/>
      <c r="O79" s="268"/>
      <c r="P79" s="63"/>
    </row>
    <row r="80" s="100" customFormat="1" ht="15.75" customHeight="1" thickBot="1"/>
    <row r="81" ht="15.75" thickTop="1"/>
  </sheetData>
  <printOptions horizontalCentered="1"/>
  <pageMargins left="0" right="0" top="0.5" bottom="0.1" header="0" footer="0"/>
  <pageSetup horizontalDpi="300" verticalDpi="300" orientation="portrait" scale="4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300"/>
  <sheetViews>
    <sheetView showGridLines="0" view="pageBreakPreview" zoomScale="50" zoomScaleNormal="60" zoomScaleSheetLayoutView="50" workbookViewId="0" topLeftCell="A1">
      <selection activeCell="G284" sqref="G284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2:13" ht="16.5" customHeight="1">
      <c r="B1" s="2" t="str">
        <f>(Marketable!B95)</f>
        <v>TABLE III - DETAIL OF TREASURY SECURITIES OUTSTANDING, MARCH 31, 2004 -- Continued</v>
      </c>
      <c r="C1" s="3"/>
      <c r="D1" s="2"/>
      <c r="E1" s="3"/>
      <c r="F1" s="3"/>
      <c r="G1" s="3"/>
      <c r="H1" s="3"/>
      <c r="I1" s="3"/>
      <c r="J1" s="3"/>
      <c r="K1" s="3"/>
      <c r="L1" s="3"/>
      <c r="M1" s="58">
        <v>7</v>
      </c>
    </row>
    <row r="2" spans="4:13" ht="11.25" customHeight="1" thickBot="1">
      <c r="D2" s="2"/>
      <c r="E2" s="3"/>
      <c r="F2" s="3"/>
      <c r="G2" s="3"/>
      <c r="H2" s="3"/>
      <c r="I2" s="3"/>
      <c r="J2" s="3"/>
      <c r="K2" s="3"/>
      <c r="L2" s="3"/>
      <c r="M2" s="58"/>
    </row>
    <row r="3" spans="1:13" ht="15.75" customHeight="1" thickTop="1">
      <c r="A3" s="32"/>
      <c r="B3" s="32"/>
      <c r="C3" s="32"/>
      <c r="D3" s="32"/>
      <c r="E3" s="32"/>
      <c r="F3" s="32"/>
      <c r="G3" s="32"/>
      <c r="H3" s="26"/>
      <c r="I3" s="32"/>
      <c r="J3" s="32"/>
      <c r="K3" s="32"/>
      <c r="L3" s="32"/>
      <c r="M3" s="32"/>
    </row>
    <row r="4" spans="8:13" ht="15.75" customHeight="1">
      <c r="H4" s="16" t="s">
        <v>337</v>
      </c>
      <c r="I4" s="3"/>
      <c r="J4" s="3"/>
      <c r="K4" s="3"/>
      <c r="L4" s="3"/>
      <c r="M4" s="3"/>
    </row>
    <row r="5" spans="1:13" ht="15.75" customHeight="1">
      <c r="A5" s="3" t="s">
        <v>338</v>
      </c>
      <c r="B5" s="3"/>
      <c r="C5" s="3"/>
      <c r="D5" s="3"/>
      <c r="E5" s="3"/>
      <c r="F5" s="3"/>
      <c r="G5" s="3"/>
      <c r="H5" s="16" t="s">
        <v>1004</v>
      </c>
      <c r="I5" s="3"/>
      <c r="J5" s="3"/>
      <c r="K5" s="3"/>
      <c r="L5" s="3"/>
      <c r="M5" s="3"/>
    </row>
    <row r="6" spans="1:13" ht="16.5" customHeight="1">
      <c r="A6" s="15"/>
      <c r="B6" s="15"/>
      <c r="C6" s="15"/>
      <c r="D6" s="15"/>
      <c r="E6" s="15"/>
      <c r="F6" s="15"/>
      <c r="G6" s="15"/>
      <c r="H6" s="37" t="s">
        <v>342</v>
      </c>
      <c r="I6" s="38"/>
      <c r="J6" s="37" t="s">
        <v>93</v>
      </c>
      <c r="K6" s="38"/>
      <c r="L6" s="37" t="s">
        <v>1007</v>
      </c>
      <c r="M6" s="38"/>
    </row>
    <row r="7" spans="8:12" ht="15.75" customHeight="1">
      <c r="H7" s="14"/>
      <c r="J7" s="14"/>
      <c r="L7" s="14"/>
    </row>
    <row r="8" spans="1:12" ht="18" customHeight="1">
      <c r="A8" s="43"/>
      <c r="B8" s="7" t="s">
        <v>962</v>
      </c>
      <c r="H8" s="14"/>
      <c r="J8" s="14"/>
      <c r="L8" s="14"/>
    </row>
    <row r="9" spans="2:15" ht="21" customHeight="1">
      <c r="B9" s="162" t="s">
        <v>83</v>
      </c>
      <c r="C9" s="78"/>
      <c r="D9" s="78"/>
      <c r="H9" s="40"/>
      <c r="I9" s="21"/>
      <c r="J9" s="40"/>
      <c r="K9" s="21"/>
      <c r="L9" s="40"/>
      <c r="M9" s="21"/>
      <c r="O9" s="283"/>
    </row>
    <row r="10" spans="3:15" ht="15.75" customHeight="1">
      <c r="C10" s="9" t="s">
        <v>1120</v>
      </c>
      <c r="H10" s="406">
        <f>IF(VLOOKUP(GAS!N10,'GAS ASCII'!$B$2:$C$200,2)&gt;=500000,VLOOKUP(GAS!N10,'GAS ASCII'!$B$2:$C$200,2)/1000000,IF(VLOOKUP(GAS!N10,'GAS ASCII'!$B$2:$C$200,2)&lt;=0,"……………….","*"))</f>
        <v>482.90912456</v>
      </c>
      <c r="I10" s="21" t="s">
        <v>1004</v>
      </c>
      <c r="J10" s="406">
        <f>IF(VLOOKUP(GAS!N10,'GAS ASCII'!$B$2:$D$200,3)&gt;=500000,VLOOKUP(GAS!N10,'GAS ASCII'!$B$2:$D$200,3)/-1000000,IF(VLOOKUP(GAS!N10,'GAS ASCII'!$B$2:$D$200,3)&lt;=0,"……………….","*"))</f>
        <v>-2.631</v>
      </c>
      <c r="K10" s="21"/>
      <c r="L10" s="406">
        <f>IF(VLOOKUP(GAS!N10,'GAS ASCII'!$B$2:$E$200,4)&gt;=500000,VLOOKUP(GAS!N10,'GAS ASCII'!$B$2:$E$200,4)/1000000,IF(VLOOKUP(GAS!N10,'GAS ASCII'!$B$2:$E$200,4)&lt;=0,"……………….","*"))</f>
        <v>480.27812456</v>
      </c>
      <c r="M10" s="21"/>
      <c r="N10" t="s">
        <v>1019</v>
      </c>
      <c r="O10" s="283"/>
    </row>
    <row r="11" spans="3:15" ht="15.75" customHeight="1">
      <c r="C11" s="9"/>
      <c r="H11" s="406"/>
      <c r="I11" s="21"/>
      <c r="J11" s="406"/>
      <c r="K11" s="21"/>
      <c r="L11" s="406"/>
      <c r="M11" s="21"/>
      <c r="O11" s="283"/>
    </row>
    <row r="12" spans="3:15" ht="15.75" customHeight="1">
      <c r="C12" s="9" t="s">
        <v>406</v>
      </c>
      <c r="H12" s="406"/>
      <c r="I12" s="21"/>
      <c r="J12" s="406"/>
      <c r="K12" s="21"/>
      <c r="L12" s="406"/>
      <c r="M12" s="21"/>
      <c r="O12" s="283"/>
    </row>
    <row r="13" spans="3:15" ht="15.75" customHeight="1">
      <c r="C13" s="9" t="s">
        <v>408</v>
      </c>
      <c r="H13" s="406">
        <f>IF(VLOOKUP(GAS!N13,'GAS ASCII'!$B$2:$C$200,2)&gt;=500000,VLOOKUP(GAS!N13,'GAS ASCII'!$B$2:$C$200,2)/1000000,IF(VLOOKUP(GAS!N13,'GAS ASCII'!$B$2:$C$200,2)&lt;=0,"……………….","*"))</f>
        <v>1.7419214299999999</v>
      </c>
      <c r="I13" s="21"/>
      <c r="J13" s="406" t="str">
        <f>IF(VLOOKUP(GAS!N13,'GAS ASCII'!$B$2:$D$200,3)&gt;=500000,VLOOKUP(GAS!N13,'GAS ASCII'!$B$2:$D$200,3)/-1000000,IF(VLOOKUP(GAS!N13,'GAS ASCII'!$B$2:$D$200,3)&lt;=0,"……………….","*"))</f>
        <v>……………….</v>
      </c>
      <c r="K13" s="27"/>
      <c r="L13" s="406">
        <f>IF(VLOOKUP(GAS!N13,'GAS ASCII'!$B$2:$E$200,4)&gt;=500000,VLOOKUP(GAS!N13,'GAS ASCII'!$B$2:$E$200,4)/1000000,IF(VLOOKUP(GAS!N13,'GAS ASCII'!$B$2:$E$200,4)&lt;=0,"……………….","*"))</f>
        <v>1.7419214299999999</v>
      </c>
      <c r="M13" s="21"/>
      <c r="N13" t="s">
        <v>1021</v>
      </c>
      <c r="O13" s="283"/>
    </row>
    <row r="14" spans="3:15" ht="15.75" customHeight="1">
      <c r="C14" s="9" t="s">
        <v>1137</v>
      </c>
      <c r="H14" s="406"/>
      <c r="I14" s="21"/>
      <c r="J14" s="406"/>
      <c r="K14" s="27"/>
      <c r="L14" s="406"/>
      <c r="M14" s="21"/>
      <c r="O14" s="283"/>
    </row>
    <row r="15" spans="3:15" ht="15.75" customHeight="1">
      <c r="C15" s="9"/>
      <c r="D15" t="s">
        <v>1138</v>
      </c>
      <c r="H15" s="406">
        <f>IF(VLOOKUP(GAS!N15,'GAS ASCII'!$B$2:$C$200,2)&gt;=500000,VLOOKUP(GAS!N15,'GAS ASCII'!$B$2:$C$200,2)/1000000,IF(VLOOKUP(GAS!N15,'GAS ASCII'!$B$2:$C$200,2)&lt;=0,"……………….","*"))</f>
        <v>73.815</v>
      </c>
      <c r="I15" s="21"/>
      <c r="J15" s="406" t="str">
        <f>IF(VLOOKUP(GAS!N15,'GAS ASCII'!$B$2:$D$200,3)&gt;=500000,VLOOKUP(GAS!N15,'GAS ASCII'!$B$2:$D$200,3)/-1000000,IF(VLOOKUP(GAS!N15,'GAS ASCII'!$B$2:$D$200,3)&lt;=0,"……………….","*"))</f>
        <v>……………….</v>
      </c>
      <c r="K15" s="27"/>
      <c r="L15" s="406">
        <f>IF(VLOOKUP(GAS!N15,'GAS ASCII'!$B$2:$E$200,4)&gt;=500000,VLOOKUP(GAS!N15,'GAS ASCII'!$B$2:$E$200,4)/1000000,IF(VLOOKUP(GAS!N15,'GAS ASCII'!$B$2:$E$200,4)&lt;=0,"……………….","*"))</f>
        <v>73.815</v>
      </c>
      <c r="M15" s="21"/>
      <c r="N15" t="s">
        <v>1126</v>
      </c>
      <c r="O15" s="283"/>
    </row>
    <row r="16" spans="3:15" ht="15.75" customHeight="1">
      <c r="C16" s="9"/>
      <c r="H16" s="406"/>
      <c r="I16" s="21"/>
      <c r="J16" s="406"/>
      <c r="K16" s="27"/>
      <c r="L16" s="406"/>
      <c r="M16" s="21"/>
      <c r="O16" s="283"/>
    </row>
    <row r="17" spans="3:15" ht="15.75" customHeight="1">
      <c r="C17" s="9" t="s">
        <v>1183</v>
      </c>
      <c r="H17" s="406">
        <f>IF(VLOOKUP(GAS!N17,'GAS ASCII'!$B$2:$C$200,2)&gt;=500000,VLOOKUP(GAS!N17,'GAS ASCII'!$B$2:$C$200,2)/1000000,IF(VLOOKUP(GAS!N17,'GAS ASCII'!$B$2:$C$200,2)&lt;=0,"……………….","*"))</f>
        <v>6.225</v>
      </c>
      <c r="I17" s="21"/>
      <c r="J17" s="406" t="str">
        <f>IF(VLOOKUP(GAS!N17,'GAS ASCII'!$B$2:$D$200,3)&gt;=500000,VLOOKUP(GAS!N17,'GAS ASCII'!$B$2:$D$200,3)/-1000000,IF(VLOOKUP(GAS!N17,'GAS ASCII'!$B$2:$D$200,3)&lt;=0,"……………….","*"))</f>
        <v>……………….</v>
      </c>
      <c r="K17" s="27"/>
      <c r="L17" s="406">
        <f>IF(VLOOKUP(GAS!N17,'GAS ASCII'!$B$2:$E$200,4)&gt;=500000,VLOOKUP(GAS!N17,'GAS ASCII'!$B$2:$E$200,4)/1000000,IF(VLOOKUP(GAS!N17,'GAS ASCII'!$B$2:$E$200,4)&lt;=0,"……………….","*"))</f>
        <v>6.225</v>
      </c>
      <c r="M17" s="21"/>
      <c r="N17" t="s">
        <v>1023</v>
      </c>
      <c r="O17" s="283"/>
    </row>
    <row r="18" spans="3:15" ht="15.75" customHeight="1">
      <c r="C18" s="9"/>
      <c r="H18" s="406"/>
      <c r="I18" s="21"/>
      <c r="J18" s="406"/>
      <c r="K18" s="27"/>
      <c r="L18" s="406"/>
      <c r="M18" s="21"/>
      <c r="O18" s="283"/>
    </row>
    <row r="19" spans="3:15" ht="15.75" customHeight="1">
      <c r="C19" s="9" t="s">
        <v>667</v>
      </c>
      <c r="H19" s="406">
        <f>IF(VLOOKUP(GAS!N19,'GAS ASCII'!$B$2:$C$200,2)&gt;=500000,VLOOKUP(GAS!N19,'GAS ASCII'!$B$2:$C$200,2)/1000000,IF(VLOOKUP(GAS!N19,'GAS ASCII'!$B$2:$C$200,2)&lt;=0,"……………….","*"))</f>
        <v>82.638</v>
      </c>
      <c r="I19" s="21"/>
      <c r="J19" s="406">
        <f>IF(VLOOKUP(GAS!N19,'GAS ASCII'!$B$2:$D$200,3)&gt;=500000,VLOOKUP(GAS!N19,'GAS ASCII'!$B$2:$D$200,3)/-1000000,IF(VLOOKUP(GAS!N19,'GAS ASCII'!$B$2:$D$200,3)&lt;=0,"……………….","*"))</f>
        <v>-35.329</v>
      </c>
      <c r="K19" s="21"/>
      <c r="L19" s="406">
        <f>IF(VLOOKUP(GAS!N19,'GAS ASCII'!$B$2:$E$200,4)&gt;=500000,VLOOKUP(GAS!N19,'GAS ASCII'!$B$2:$E$200,4)/1000000,IF(VLOOKUP(GAS!N19,'GAS ASCII'!$B$2:$E$200,4)&lt;=0,"……………….","*"))</f>
        <v>47.309</v>
      </c>
      <c r="M19" s="21"/>
      <c r="N19" t="s">
        <v>1025</v>
      </c>
      <c r="O19" s="283"/>
    </row>
    <row r="20" spans="3:15" ht="15.75" customHeight="1">
      <c r="C20" s="9"/>
      <c r="H20" s="406"/>
      <c r="I20" s="21"/>
      <c r="J20" s="406"/>
      <c r="K20" s="21"/>
      <c r="L20" s="406"/>
      <c r="M20" s="21"/>
      <c r="O20" s="283"/>
    </row>
    <row r="21" spans="3:15" ht="15.75" customHeight="1">
      <c r="C21" s="9" t="s">
        <v>731</v>
      </c>
      <c r="H21" s="406" t="str">
        <f>IF(VLOOKUP(GAS!N21,'GAS ASCII'!$B$2:$C$200,2)&gt;=500000,VLOOKUP(GAS!N21,'GAS ASCII'!$B$2:$C$200,2)/1000000,IF(VLOOKUP(GAS!N21,'GAS ASCII'!$B$2:$C$200,2)&lt;=0,"……………….","*"))</f>
        <v>*</v>
      </c>
      <c r="I21" s="21"/>
      <c r="J21" s="406" t="str">
        <f>IF(VLOOKUP(GAS!N21,'GAS ASCII'!$B$2:$D$200,3)&gt;=500000,VLOOKUP(GAS!N21,'GAS ASCII'!$B$2:$D$200,3)/-1000000,IF(VLOOKUP(GAS!N21,'GAS ASCII'!$B$2:$D$200,3)&lt;=0,"……………….","*"))</f>
        <v>……………….</v>
      </c>
      <c r="K21" s="27"/>
      <c r="L21" s="406" t="str">
        <f>IF(VLOOKUP(GAS!N21,'GAS ASCII'!$B$2:$E$200,4)&gt;=500000,VLOOKUP(GAS!N21,'GAS ASCII'!$B$2:$E$200,4)/1000000,IF(VLOOKUP(GAS!N21,'GAS ASCII'!$B$2:$E$200,4)&lt;=0,"……………….","*"))</f>
        <v>*</v>
      </c>
      <c r="M21" s="21"/>
      <c r="N21" t="s">
        <v>1027</v>
      </c>
      <c r="O21" s="283"/>
    </row>
    <row r="22" spans="3:15" ht="15.75" customHeight="1">
      <c r="C22" s="9"/>
      <c r="H22" s="406"/>
      <c r="I22" s="21"/>
      <c r="J22" s="406"/>
      <c r="K22" s="27"/>
      <c r="L22" s="406"/>
      <c r="M22" s="21"/>
      <c r="O22" s="283"/>
    </row>
    <row r="23" spans="3:15" ht="15.75" customHeight="1">
      <c r="C23" s="9" t="s">
        <v>468</v>
      </c>
      <c r="H23" s="406">
        <f>IF(VLOOKUP(GAS!N23,'GAS ASCII'!$B$2:$C$200,2)&gt;=500000,VLOOKUP(GAS!N23,'GAS ASCII'!$B$2:$C$200,2)/1000000,IF(VLOOKUP(GAS!N23,'GAS ASCII'!$B$2:$C$200,2)&lt;=0,"……………….","*"))</f>
        <v>19.06194602</v>
      </c>
      <c r="I23" s="21"/>
      <c r="J23" s="406" t="str">
        <f>IF(VLOOKUP(GAS!N23,'GAS ASCII'!$B$2:$D$200,3)&gt;=500000,VLOOKUP(GAS!N23,'GAS ASCII'!$B$2:$D$200,3)/-1000000,IF(VLOOKUP(GAS!N23,'GAS ASCII'!$B$2:$D$200,3)&lt;=0,"……………….","*"))</f>
        <v>……………….</v>
      </c>
      <c r="K23" s="3"/>
      <c r="L23" s="406">
        <f>IF(VLOOKUP(GAS!N23,'GAS ASCII'!$B$2:$E$200,4)&gt;=500000,VLOOKUP(GAS!N23,'GAS ASCII'!$B$2:$E$200,4)/1000000,IF(VLOOKUP(GAS!N23,'GAS ASCII'!$B$2:$E$200,4)&lt;=0,"……………….","*"))</f>
        <v>19.06194602</v>
      </c>
      <c r="M23" s="21"/>
      <c r="N23" t="s">
        <v>1029</v>
      </c>
      <c r="O23" s="283"/>
    </row>
    <row r="24" spans="3:15" ht="15.75" customHeight="1">
      <c r="C24" s="9"/>
      <c r="H24" s="406"/>
      <c r="I24" s="21"/>
      <c r="J24" s="406"/>
      <c r="K24" s="3"/>
      <c r="L24" s="406"/>
      <c r="M24" s="21"/>
      <c r="O24" s="283"/>
    </row>
    <row r="25" spans="3:15" ht="15.75" customHeight="1">
      <c r="C25" s="9" t="s">
        <v>469</v>
      </c>
      <c r="H25" s="406">
        <f>IF(VLOOKUP(GAS!N25,'GAS ASCII'!$B$2:$C$200,2)&gt;=500000,VLOOKUP(GAS!N25,'GAS ASCII'!$B$2:$C$200,2)/1000000,IF(VLOOKUP(GAS!N25,'GAS ASCII'!$B$2:$C$200,2)&lt;=0,"……………….","*"))</f>
        <v>34.931</v>
      </c>
      <c r="I25" s="21"/>
      <c r="J25" s="406" t="str">
        <f>IF(VLOOKUP(GAS!N25,'GAS ASCII'!$B$2:$D$200,3)&gt;=500000,VLOOKUP(GAS!N25,'GAS ASCII'!$B$2:$D$200,3)/-1000000,IF(VLOOKUP(GAS!N25,'GAS ASCII'!$B$2:$D$200,3)&lt;=0,"……………….","*"))</f>
        <v>……………….</v>
      </c>
      <c r="K25" s="3"/>
      <c r="L25" s="406">
        <f>IF(VLOOKUP(GAS!N25,'GAS ASCII'!$B$2:$E$200,4)&gt;=500000,VLOOKUP(GAS!N25,'GAS ASCII'!$B$2:$E$200,4)/1000000,IF(VLOOKUP(GAS!N25,'GAS ASCII'!$B$2:$E$200,4)&lt;=0,"……………….","*"))</f>
        <v>34.931</v>
      </c>
      <c r="M25" s="21"/>
      <c r="N25" t="s">
        <v>1031</v>
      </c>
      <c r="O25" s="283"/>
    </row>
    <row r="26" spans="3:15" ht="15.75" customHeight="1">
      <c r="C26" s="132"/>
      <c r="H26" s="406"/>
      <c r="I26" s="21"/>
      <c r="J26" s="406"/>
      <c r="K26" s="27"/>
      <c r="L26" s="406"/>
      <c r="M26" s="21"/>
      <c r="O26" s="283"/>
    </row>
    <row r="27" spans="3:15" ht="15.75" customHeight="1">
      <c r="C27" s="9" t="s">
        <v>407</v>
      </c>
      <c r="H27" s="406">
        <f>IF(VLOOKUP(GAS!N27,'GAS ASCII'!$B$2:$C$200,2)&gt;=500000,VLOOKUP(GAS!N27,'GAS ASCII'!$B$2:$C$200,2)/1000000,IF(VLOOKUP(GAS!N27,'GAS ASCII'!$B$2:$C$200,2)&lt;=0,"……………….","*"))</f>
        <v>32.783</v>
      </c>
      <c r="I27" s="21"/>
      <c r="J27" s="406">
        <f>IF(VLOOKUP(GAS!N27,'GAS ASCII'!$B$2:$D$200,3)&gt;=500000,VLOOKUP(GAS!N27,'GAS ASCII'!$B$2:$D$200,3)/-1000000,IF(VLOOKUP(GAS!N27,'GAS ASCII'!$B$2:$D$200,3)&lt;=0,"……………….","*"))</f>
        <v>-3.03</v>
      </c>
      <c r="K27" s="3"/>
      <c r="L27" s="406">
        <f>IF(VLOOKUP(GAS!N27,'GAS ASCII'!$B$2:$E$200,4)&gt;=500000,VLOOKUP(GAS!N27,'GAS ASCII'!$B$2:$E$200,4)/1000000,IF(VLOOKUP(GAS!N27,'GAS ASCII'!$B$2:$E$200,4)&lt;=0,"……………….","*"))</f>
        <v>29.753</v>
      </c>
      <c r="M27" s="21"/>
      <c r="N27" t="s">
        <v>139</v>
      </c>
      <c r="O27" s="283"/>
    </row>
    <row r="28" spans="3:15" ht="15.75" customHeight="1">
      <c r="C28" s="132"/>
      <c r="H28" s="406"/>
      <c r="I28" s="21"/>
      <c r="J28" s="406"/>
      <c r="K28" s="27"/>
      <c r="L28" s="406"/>
      <c r="M28" s="21"/>
      <c r="O28" s="283"/>
    </row>
    <row r="29" spans="3:15" ht="15.75" customHeight="1">
      <c r="C29" s="9" t="s">
        <v>1002</v>
      </c>
      <c r="H29" s="406"/>
      <c r="I29" s="21"/>
      <c r="J29" s="406"/>
      <c r="K29" s="21"/>
      <c r="L29" s="406"/>
      <c r="M29" s="21"/>
      <c r="O29" s="283"/>
    </row>
    <row r="30" spans="3:15" ht="15.75" customHeight="1">
      <c r="C30" s="9" t="s">
        <v>470</v>
      </c>
      <c r="H30" s="406">
        <f>IF(VLOOKUP(GAS!N30,'GAS ASCII'!$B$2:$C$200,2)&gt;=500000,VLOOKUP(GAS!N30,'GAS ASCII'!$B$2:$C$200,2)/1000000,IF(VLOOKUP(GAS!N30,'GAS ASCII'!$B$2:$C$200,2)&lt;=0,"……………….","*"))</f>
        <v>253.006</v>
      </c>
      <c r="I30" s="21"/>
      <c r="J30" s="406" t="str">
        <f>IF(VLOOKUP(GAS!N30,'GAS ASCII'!$B$2:$D$200,3)&gt;=500000,VLOOKUP(GAS!N30,'GAS ASCII'!$B$2:$D$200,3)/-1000000,IF(VLOOKUP(GAS!N30,'GAS ASCII'!$B$2:$D$200,3)&lt;=0,"……………….","*"))</f>
        <v>……………….</v>
      </c>
      <c r="K30" s="27"/>
      <c r="L30" s="406">
        <f>IF(VLOOKUP(GAS!N30,'GAS ASCII'!$B$2:$E$200,4)&gt;=500000,VLOOKUP(GAS!N30,'GAS ASCII'!$B$2:$E$200,4)/1000000,IF(VLOOKUP(GAS!N30,'GAS ASCII'!$B$2:$E$200,4)&lt;=0,"……………….","*"))</f>
        <v>253.006</v>
      </c>
      <c r="M30" s="21"/>
      <c r="N30" t="s">
        <v>141</v>
      </c>
      <c r="O30" s="283"/>
    </row>
    <row r="31" spans="3:15" ht="15.75" customHeight="1">
      <c r="C31" s="9"/>
      <c r="H31" s="406"/>
      <c r="I31" s="21"/>
      <c r="J31" s="406"/>
      <c r="K31" s="27"/>
      <c r="L31" s="406"/>
      <c r="M31" s="21"/>
      <c r="O31" s="283"/>
    </row>
    <row r="32" spans="3:15" ht="15.75" customHeight="1">
      <c r="C32" s="9" t="s">
        <v>391</v>
      </c>
      <c r="H32" s="406">
        <f>IF(VLOOKUP(GAS!N32,'GAS ASCII'!$B$2:$C$200,2)&gt;=500000,VLOOKUP(GAS!N32,'GAS ASCII'!$B$2:$C$200,2)/1000000,IF(VLOOKUP(GAS!N32,'GAS ASCII'!$B$2:$C$200,2)&lt;=0,"……………….","*"))</f>
        <v>517.076</v>
      </c>
      <c r="I32" s="21"/>
      <c r="J32" s="406" t="str">
        <f>IF(VLOOKUP(GAS!N32,'GAS ASCII'!$B$2:$D$200,3)&gt;=500000,VLOOKUP(GAS!N32,'GAS ASCII'!$B$2:$D$200,3)/-1000000,IF(VLOOKUP(GAS!N32,'GAS ASCII'!$B$2:$D$200,3)&lt;=0,"……………….","*"))</f>
        <v>……………….</v>
      </c>
      <c r="K32" s="27"/>
      <c r="L32" s="406">
        <f>IF(VLOOKUP(GAS!N32,'GAS ASCII'!$B$2:$E$200,4)&gt;=500000,VLOOKUP(GAS!N32,'GAS ASCII'!$B$2:$E$200,4)/1000000,IF(VLOOKUP(GAS!N32,'GAS ASCII'!$B$2:$E$200,4)&lt;=0,"……………….","*"))</f>
        <v>517.076</v>
      </c>
      <c r="M32" s="21"/>
      <c r="N32" t="s">
        <v>143</v>
      </c>
      <c r="O32" s="283"/>
    </row>
    <row r="33" spans="3:15" ht="15.75" customHeight="1">
      <c r="C33" s="9" t="s">
        <v>471</v>
      </c>
      <c r="H33" s="406">
        <f>IF(VLOOKUP(GAS!N33,'GAS ASCII'!$B$2:$C$200,2)&gt;=500000,VLOOKUP(GAS!N33,'GAS ASCII'!$B$2:$C$200,2)/1000000,IF(VLOOKUP(GAS!N33,'GAS ASCII'!$B$2:$C$200,2)&lt;=0,"……………….","*"))</f>
        <v>1</v>
      </c>
      <c r="I33" s="21"/>
      <c r="J33" s="406" t="str">
        <f>IF(VLOOKUP(GAS!N33,'GAS ASCII'!$B$2:$D$200,3)&gt;=500000,VLOOKUP(GAS!N33,'GAS ASCII'!$B$2:$D$200,3)/-1000000,IF(VLOOKUP(GAS!N33,'GAS ASCII'!$B$2:$D$200,3)&lt;=0,"……………….","*"))</f>
        <v>……………….</v>
      </c>
      <c r="K33" s="27"/>
      <c r="L33" s="406">
        <f>IF(VLOOKUP(GAS!N33,'GAS ASCII'!$B$2:$E$200,4)&gt;=500000,VLOOKUP(GAS!N33,'GAS ASCII'!$B$2:$E$200,4)/1000000,IF(VLOOKUP(GAS!N33,'GAS ASCII'!$B$2:$E$200,4)&lt;=0,"……………….","*"))</f>
        <v>1</v>
      </c>
      <c r="M33" s="21"/>
      <c r="N33" t="s">
        <v>145</v>
      </c>
      <c r="O33" s="283"/>
    </row>
    <row r="34" spans="3:15" ht="15.75" customHeight="1">
      <c r="C34" s="9" t="s">
        <v>732</v>
      </c>
      <c r="H34" s="406">
        <f>IF(VLOOKUP(GAS!N34,'GAS ASCII'!$B$2:$C$200,2)&gt;=500000,VLOOKUP(GAS!N34,'GAS ASCII'!$B$2:$C$200,2)/1000000,IF(VLOOKUP(GAS!N34,'GAS ASCII'!$B$2:$C$200,2)&lt;=0,"……………….","*"))</f>
        <v>880.604</v>
      </c>
      <c r="I34" s="21"/>
      <c r="J34" s="406" t="str">
        <f>IF(VLOOKUP(GAS!N34,'GAS ASCII'!$B$2:$D$200,3)&gt;=500000,VLOOKUP(GAS!N34,'GAS ASCII'!$B$2:$D$200,3)/-1000000,IF(VLOOKUP(GAS!N34,'GAS ASCII'!$B$2:$D$200,3)&lt;=0,"……………….","*"))</f>
        <v>……………….</v>
      </c>
      <c r="K34" s="27"/>
      <c r="L34" s="406">
        <f>IF(VLOOKUP(GAS!N34,'GAS ASCII'!$B$2:$E$200,4)&gt;=500000,VLOOKUP(GAS!N34,'GAS ASCII'!$B$2:$E$200,4)/1000000,IF(VLOOKUP(GAS!N34,'GAS ASCII'!$B$2:$E$200,4)&lt;=0,"……………….","*"))</f>
        <v>880.604</v>
      </c>
      <c r="M34" s="21"/>
      <c r="N34" t="s">
        <v>147</v>
      </c>
      <c r="O34" s="283"/>
    </row>
    <row r="35" spans="3:15" ht="15.75" customHeight="1">
      <c r="C35" s="9"/>
      <c r="H35" s="406"/>
      <c r="I35" s="21"/>
      <c r="J35" s="406"/>
      <c r="K35" s="27"/>
      <c r="L35" s="406"/>
      <c r="M35" s="21"/>
      <c r="O35" s="283"/>
    </row>
    <row r="36" spans="3:15" ht="15.75" customHeight="1">
      <c r="C36" s="9" t="s">
        <v>1079</v>
      </c>
      <c r="H36" s="406">
        <f>IF(VLOOKUP(GAS!N36,'GAS ASCII'!$B$2:$C$200,2)&gt;=500000,VLOOKUP(GAS!N36,'GAS ASCII'!$B$2:$C$200,2)/1000000,IF(VLOOKUP(GAS!N36,'GAS ASCII'!$B$2:$C$200,2)&lt;=0,"……………….","*"))</f>
        <v>51780.713</v>
      </c>
      <c r="I36" s="21"/>
      <c r="J36" s="406" t="str">
        <f>IF(VLOOKUP(GAS!N36,'GAS ASCII'!$B$2:$D$200,3)&gt;=500000,VLOOKUP(GAS!N36,'GAS ASCII'!$B$2:$D$200,3)/-1000000,IF(VLOOKUP(GAS!N36,'GAS ASCII'!$B$2:$D$200,3)&lt;=0,"……………….","*"))</f>
        <v>……………….</v>
      </c>
      <c r="K36" s="27"/>
      <c r="L36" s="406">
        <f>IF(VLOOKUP(GAS!N36,'GAS ASCII'!$B$2:$E$200,4)&gt;=500000,VLOOKUP(GAS!N36,'GAS ASCII'!$B$2:$E$200,4)/1000000,IF(VLOOKUP(GAS!N36,'GAS ASCII'!$B$2:$E$200,4)&lt;=0,"……………….","*"))</f>
        <v>51780.713</v>
      </c>
      <c r="M36" s="21"/>
      <c r="N36" t="s">
        <v>149</v>
      </c>
      <c r="O36" s="283"/>
    </row>
    <row r="37" spans="3:15" ht="15.75" customHeight="1">
      <c r="C37" s="9" t="s">
        <v>737</v>
      </c>
      <c r="H37" s="406">
        <f>IF(VLOOKUP(GAS!N37,'GAS ASCII'!$B$2:$C$200,2)&gt;=500000,VLOOKUP(GAS!N37,'GAS ASCII'!$B$2:$C$200,2)/1000000,IF(VLOOKUP(GAS!N37,'GAS ASCII'!$B$2:$C$200,2)&lt;=0,"……………….","*"))</f>
        <v>22.48545279</v>
      </c>
      <c r="I37" s="21"/>
      <c r="J37" s="406" t="str">
        <f>IF(VLOOKUP(GAS!N37,'GAS ASCII'!$B$2:$D$200,3)&gt;=500000,VLOOKUP(GAS!N37,'GAS ASCII'!$B$2:$D$200,3)/-1000000,IF(VLOOKUP(GAS!N37,'GAS ASCII'!$B$2:$D$200,3)&lt;=0,"……………….","*"))</f>
        <v>……………….</v>
      </c>
      <c r="K37" s="27"/>
      <c r="L37" s="406">
        <f>IF(VLOOKUP(GAS!N37,'GAS ASCII'!$B$2:$E$200,4)&gt;=500000,VLOOKUP(GAS!N37,'GAS ASCII'!$B$2:$E$200,4)/1000000,IF(VLOOKUP(GAS!N37,'GAS ASCII'!$B$2:$E$200,4)&lt;=0,"……………….","*"))</f>
        <v>22.48545279</v>
      </c>
      <c r="M37" s="21"/>
      <c r="N37" t="s">
        <v>151</v>
      </c>
      <c r="O37" s="283"/>
    </row>
    <row r="38" spans="3:15" ht="15.75" customHeight="1">
      <c r="C38" s="9"/>
      <c r="H38" s="406"/>
      <c r="I38" s="21"/>
      <c r="J38" s="406"/>
      <c r="K38" s="27"/>
      <c r="L38" s="406"/>
      <c r="M38" s="21"/>
      <c r="O38" s="283"/>
    </row>
    <row r="39" spans="3:15" ht="15.75" customHeight="1">
      <c r="C39" s="9" t="s">
        <v>671</v>
      </c>
      <c r="H39" s="406">
        <f>IF(VLOOKUP(GAS!N39,'GAS ASCII'!$B$2:$C$200,2)&gt;=500000,VLOOKUP(GAS!N39,'GAS ASCII'!$B$2:$C$200,2)/1000000,IF(VLOOKUP(GAS!N39,'GAS ASCII'!$B$2:$C$200,2)&lt;=0,"……………….","*"))</f>
        <v>3.708</v>
      </c>
      <c r="I39" s="21"/>
      <c r="J39" s="406" t="str">
        <f>IF(VLOOKUP(GAS!N39,'GAS ASCII'!$B$2:$D$200,3)&gt;=500000,VLOOKUP(GAS!N39,'GAS ASCII'!$B$2:$D$200,3)/-1000000,IF(VLOOKUP(GAS!N39,'GAS ASCII'!$B$2:$D$200,3)&lt;=0,"……………….","*"))</f>
        <v>……………….</v>
      </c>
      <c r="K39" s="27"/>
      <c r="L39" s="406">
        <f>IF(VLOOKUP(GAS!N39,'GAS ASCII'!$B$2:$E$200,4)&gt;=500000,VLOOKUP(GAS!N39,'GAS ASCII'!$B$2:$E$200,4)/1000000,IF(VLOOKUP(GAS!N39,'GAS ASCII'!$B$2:$E$200,4)&lt;=0,"……………….","*"))</f>
        <v>3.708</v>
      </c>
      <c r="M39" s="21"/>
      <c r="N39" t="s">
        <v>153</v>
      </c>
      <c r="O39" s="283"/>
    </row>
    <row r="40" spans="3:15" ht="15.75" customHeight="1">
      <c r="C40" s="9" t="s">
        <v>594</v>
      </c>
      <c r="H40" s="406">
        <f>IF(VLOOKUP(GAS!N40,'GAS ASCII'!$B$2:$C$200,2)&gt;=500000,VLOOKUP(GAS!N40,'GAS ASCII'!$B$2:$C$200,2)/1000000,IF(VLOOKUP(GAS!N40,'GAS ASCII'!$B$2:$C$200,2)&lt;=0,"……………….","*"))</f>
        <v>185.08669444</v>
      </c>
      <c r="I40" s="21"/>
      <c r="J40" s="406" t="str">
        <f>IF(VLOOKUP(GAS!N40,'GAS ASCII'!$B$2:$D$200,3)&gt;=500000,VLOOKUP(GAS!N40,'GAS ASCII'!$B$2:$D$200,3)/-1000000,IF(VLOOKUP(GAS!N40,'GAS ASCII'!$B$2:$D$200,3)&lt;=0,"……………….","*"))</f>
        <v>……………….</v>
      </c>
      <c r="K40" s="27"/>
      <c r="L40" s="406">
        <f>IF(VLOOKUP(GAS!N40,'GAS ASCII'!$B$2:$E$200,4)&gt;=500000,VLOOKUP(GAS!N40,'GAS ASCII'!$B$2:$E$200,4)/1000000,IF(VLOOKUP(GAS!N40,'GAS ASCII'!$B$2:$E$200,4)&lt;=0,"……………….","*"))</f>
        <v>185.08669444</v>
      </c>
      <c r="M40" s="21"/>
      <c r="N40" t="s">
        <v>1128</v>
      </c>
      <c r="O40" s="283"/>
    </row>
    <row r="41" spans="3:15" ht="15.75" customHeight="1">
      <c r="C41" s="9" t="s">
        <v>1213</v>
      </c>
      <c r="H41" s="406">
        <f>IF(VLOOKUP(GAS!N41,'GAS ASCII'!$B$2:$C$200,2)&gt;=500000,VLOOKUP(GAS!N41,'GAS ASCII'!$B$2:$C$200,2)/1000000,IF(VLOOKUP(GAS!N41,'GAS ASCII'!$B$2:$C$200,2)&lt;=0,"……………….","*"))</f>
        <v>375.587</v>
      </c>
      <c r="I41" s="21"/>
      <c r="J41" s="406" t="str">
        <f>IF(VLOOKUP(GAS!N41,'GAS ASCII'!$B$2:$D$200,3)&gt;=500000,VLOOKUP(GAS!N41,'GAS ASCII'!$B$2:$D$200,3)/-1000000,IF(VLOOKUP(GAS!N41,'GAS ASCII'!$B$2:$D$200,3)&lt;=0,"……………….","*"))</f>
        <v>……………….</v>
      </c>
      <c r="K41" s="27"/>
      <c r="L41" s="406">
        <f>IF(VLOOKUP(GAS!N41,'GAS ASCII'!$B$2:$E$200,4)&gt;=500000,VLOOKUP(GAS!N41,'GAS ASCII'!$B$2:$E$200,4)/1000000,IF(VLOOKUP(GAS!N41,'GAS ASCII'!$B$2:$E$200,4)&lt;=0,"……………….","*"))</f>
        <v>375.587</v>
      </c>
      <c r="M41" s="21"/>
      <c r="N41" t="s">
        <v>1205</v>
      </c>
      <c r="O41" s="283"/>
    </row>
    <row r="42" spans="3:15" ht="15.75" customHeight="1">
      <c r="C42" s="9"/>
      <c r="H42" s="406"/>
      <c r="I42" s="21"/>
      <c r="J42" s="406"/>
      <c r="K42" s="27"/>
      <c r="L42" s="406"/>
      <c r="M42" s="21"/>
      <c r="O42" s="283"/>
    </row>
    <row r="43" spans="3:15" ht="15.75" customHeight="1">
      <c r="C43" s="9" t="s">
        <v>674</v>
      </c>
      <c r="H43" s="406">
        <f>IF(VLOOKUP(GAS!N43,'GAS ASCII'!$B$2:$C$200,2)&gt;=500000,VLOOKUP(GAS!N43,'GAS ASCII'!$B$2:$C$200,2)/1000000,IF(VLOOKUP(GAS!N43,'GAS ASCII'!$B$2:$C$200,2)&lt;=0,"……………….","*"))</f>
        <v>1.592</v>
      </c>
      <c r="I43" s="21"/>
      <c r="J43" s="406" t="str">
        <f>IF(VLOOKUP(GAS!N43,'GAS ASCII'!$B$2:$D$200,3)&gt;=500000,VLOOKUP(GAS!N43,'GAS ASCII'!$B$2:$D$200,3)/-1000000,IF(VLOOKUP(GAS!N43,'GAS ASCII'!$B$2:$D$200,3)&lt;=0,"……………….","*"))</f>
        <v>……………….</v>
      </c>
      <c r="K43" s="27"/>
      <c r="L43" s="406">
        <f>IF(VLOOKUP(GAS!N43,'GAS ASCII'!$B$2:$E$200,4)&gt;=500000,VLOOKUP(GAS!N43,'GAS ASCII'!$B$2:$E$200,4)/1000000,IF(VLOOKUP(GAS!N43,'GAS ASCII'!$B$2:$E$200,4)&lt;=0,"……………….","*"))</f>
        <v>1.592</v>
      </c>
      <c r="M43" s="21"/>
      <c r="N43" t="s">
        <v>155</v>
      </c>
      <c r="O43" s="283"/>
    </row>
    <row r="44" spans="2:15" s="78" customFormat="1" ht="15.75" customHeight="1">
      <c r="B44" s="78" t="s">
        <v>587</v>
      </c>
      <c r="C44" s="393"/>
      <c r="H44" s="372">
        <f>SUM(H10:H43)</f>
        <v>54754.96313924</v>
      </c>
      <c r="I44" s="373"/>
      <c r="J44" s="372">
        <f>SUM(J8:J43)</f>
        <v>-40.99</v>
      </c>
      <c r="K44" s="374"/>
      <c r="L44" s="372">
        <f>SUM(L8:L43)</f>
        <v>54713.97313924</v>
      </c>
      <c r="M44" s="373"/>
      <c r="O44" s="394"/>
    </row>
    <row r="45" spans="3:15" ht="15.75" customHeight="1">
      <c r="C45" s="132"/>
      <c r="H45" s="51"/>
      <c r="I45" s="21"/>
      <c r="J45" s="47"/>
      <c r="K45" s="27"/>
      <c r="L45" s="51"/>
      <c r="M45" s="21"/>
      <c r="O45" s="283"/>
    </row>
    <row r="46" spans="2:15" ht="15.75" customHeight="1">
      <c r="B46" t="s">
        <v>84</v>
      </c>
      <c r="C46" s="132"/>
      <c r="H46" s="51"/>
      <c r="I46" s="21"/>
      <c r="J46" s="47"/>
      <c r="K46" s="27"/>
      <c r="L46" s="51"/>
      <c r="M46" s="21"/>
      <c r="O46" s="283"/>
    </row>
    <row r="47" spans="3:15" ht="15.75" customHeight="1">
      <c r="C47" s="9" t="s">
        <v>963</v>
      </c>
      <c r="H47" s="40"/>
      <c r="I47" s="21"/>
      <c r="J47" s="40"/>
      <c r="K47" s="21"/>
      <c r="L47" s="40"/>
      <c r="M47" s="21"/>
      <c r="O47" s="283"/>
    </row>
    <row r="48" spans="3:15" ht="15.75" customHeight="1">
      <c r="C48" s="9" t="s">
        <v>675</v>
      </c>
      <c r="H48" s="406">
        <f>IF(VLOOKUP(GAS!N48,'GAS ASCII'!$B$2:$C$200,2)&gt;=500000,VLOOKUP(GAS!N48,'GAS ASCII'!$B$2:$C$200,2)/1000000,IF(VLOOKUP(GAS!N48,'GAS ASCII'!$B$2:$C$200,2)&lt;=0,"……………….","*"))</f>
        <v>1968.24495746</v>
      </c>
      <c r="I48" s="21"/>
      <c r="J48" s="406" t="str">
        <f>IF(VLOOKUP(GAS!N48,'GAS ASCII'!$B$2:$D$200,3)&gt;=500000,VLOOKUP(GAS!N48,'GAS ASCII'!$B$2:$D$200,3)/-1000000,IF(VLOOKUP(GAS!N48,'GAS ASCII'!$B$2:$D$200,3)&lt;=0,"……………….","*"))</f>
        <v>……………….</v>
      </c>
      <c r="K48" s="27"/>
      <c r="L48" s="406">
        <f>IF(VLOOKUP(GAS!N48,'GAS ASCII'!$B$2:$E$200,4)&gt;=500000,VLOOKUP(GAS!N48,'GAS ASCII'!$B$2:$E$200,4)/1000000,IF(VLOOKUP(GAS!N48,'GAS ASCII'!$B$2:$E$200,4)&lt;=0,"……………….","*"))</f>
        <v>1968.24495746</v>
      </c>
      <c r="M48" s="41"/>
      <c r="N48" t="s">
        <v>157</v>
      </c>
      <c r="O48" s="283"/>
    </row>
    <row r="49" spans="3:15" ht="15.75" customHeight="1">
      <c r="C49" s="9" t="s">
        <v>262</v>
      </c>
      <c r="H49" s="406">
        <f>IF(VLOOKUP(GAS!N49,'GAS ASCII'!$B$2:$C$200,2)&gt;=500000,VLOOKUP(GAS!N49,'GAS ASCII'!$B$2:$C$200,2)/1000000,IF(VLOOKUP(GAS!N49,'GAS ASCII'!$B$2:$C$200,2)&lt;=0,"……………….","*"))</f>
        <v>17300.907</v>
      </c>
      <c r="I49" s="21" t="s">
        <v>1004</v>
      </c>
      <c r="J49" s="406">
        <f>IF(VLOOKUP(GAS!N49,'GAS ASCII'!$B$2:$D$200,3)&gt;=500000,VLOOKUP(GAS!N49,'GAS ASCII'!$B$2:$D$200,3)/-1000000,IF(VLOOKUP(GAS!N49,'GAS ASCII'!$B$2:$D$200,3)&lt;=0,"……………….","*"))</f>
        <v>-6683.896</v>
      </c>
      <c r="K49" s="184"/>
      <c r="L49" s="406">
        <f>IF(VLOOKUP(GAS!N49,'GAS ASCII'!$B$2:$E$200,4)&gt;=500000,VLOOKUP(GAS!N49,'GAS ASCII'!$B$2:$E$200,4)/1000000,IF(VLOOKUP(GAS!N49,'GAS ASCII'!$B$2:$E$200,4)&lt;=0,"……………….","*"))</f>
        <v>10617.011</v>
      </c>
      <c r="M49" s="21"/>
      <c r="N49" t="s">
        <v>159</v>
      </c>
      <c r="O49" s="283"/>
    </row>
    <row r="50" spans="3:15" ht="15.75" customHeight="1">
      <c r="C50" s="9" t="s">
        <v>263</v>
      </c>
      <c r="H50" s="406">
        <f>IF(VLOOKUP(GAS!N50,'GAS ASCII'!$B$2:$C$200,2)&gt;=500000,VLOOKUP(GAS!N50,'GAS ASCII'!$B$2:$C$200,2)/1000000,IF(VLOOKUP(GAS!N50,'GAS ASCII'!$B$2:$C$200,2)&lt;=0,"……………….","*"))</f>
        <v>1.08</v>
      </c>
      <c r="I50" s="21"/>
      <c r="J50" s="406" t="str">
        <f>IF(VLOOKUP(GAS!N50,'GAS ASCII'!$B$2:$D$200,3)&gt;=500000,VLOOKUP(GAS!N50,'GAS ASCII'!$B$2:$D$200,3)/-1000000,IF(VLOOKUP(GAS!N50,'GAS ASCII'!$B$2:$D$200,3)&lt;=0,"……………….","*"))</f>
        <v>……………….</v>
      </c>
      <c r="K50" s="27"/>
      <c r="L50" s="406">
        <f>IF(VLOOKUP(GAS!N50,'GAS ASCII'!$B$2:$E$200,4)&gt;=500000,VLOOKUP(GAS!N50,'GAS ASCII'!$B$2:$E$200,4)/1000000,IF(VLOOKUP(GAS!N50,'GAS ASCII'!$B$2:$E$200,4)&lt;=0,"……………….","*"))</f>
        <v>1.08</v>
      </c>
      <c r="M50" s="21"/>
      <c r="N50" t="s">
        <v>161</v>
      </c>
      <c r="O50" s="283"/>
    </row>
    <row r="51" spans="3:15" ht="15.75" customHeight="1">
      <c r="C51" s="9" t="s">
        <v>441</v>
      </c>
      <c r="H51" s="406">
        <f>IF(VLOOKUP(GAS!N51,'GAS ASCII'!$B$2:$C$200,2)&gt;=500000,VLOOKUP(GAS!N51,'GAS ASCII'!$B$2:$C$200,2)/1000000,IF(VLOOKUP(GAS!N51,'GAS ASCII'!$B$2:$C$200,2)&lt;=0,"……………….","*"))</f>
        <v>1394.127</v>
      </c>
      <c r="I51" s="21"/>
      <c r="J51" s="406" t="str">
        <f>IF(VLOOKUP(GAS!N51,'GAS ASCII'!$B$2:$D$200,3)&gt;=500000,VLOOKUP(GAS!N51,'GAS ASCII'!$B$2:$D$200,3)/1000000,IF(VLOOKUP(GAS!N51,'GAS ASCII'!$B$2:$D$200,3)&lt;=0,"……………….","*"))</f>
        <v>……………….</v>
      </c>
      <c r="K51" s="27"/>
      <c r="L51" s="406">
        <f>IF(VLOOKUP(GAS!N51,'GAS ASCII'!$B$2:$E$200,4)&gt;=500000,VLOOKUP(GAS!N51,'GAS ASCII'!$B$2:$E$200,4)/1000000,IF(VLOOKUP(GAS!N51,'GAS ASCII'!$B$2:$E$200,4)&lt;=0,"……………….","*"))</f>
        <v>1394.127</v>
      </c>
      <c r="M51" s="21"/>
      <c r="N51" t="s">
        <v>163</v>
      </c>
      <c r="O51" s="283"/>
    </row>
    <row r="52" spans="3:15" ht="15.75" customHeight="1">
      <c r="C52" s="9" t="s">
        <v>1151</v>
      </c>
      <c r="H52" s="406">
        <f>IF(VLOOKUP(GAS!N52,'GAS ASCII'!$B$2:$C$200,2)&gt;=500000,VLOOKUP(GAS!N52,'GAS ASCII'!$B$2:$C$200,2)/1000000,IF(VLOOKUP(GAS!N52,'GAS ASCII'!$B$2:$C$200,2)&lt;=0,"……………….","*"))</f>
        <v>87.25965503</v>
      </c>
      <c r="I52" s="21"/>
      <c r="J52" s="406" t="str">
        <f>IF(VLOOKUP(GAS!N52,'GAS ASCII'!$B$2:$D$200,3)&gt;=500000,VLOOKUP(GAS!N52,'GAS ASCII'!$B$2:$D$200,3)/-1000000,IF(VLOOKUP(GAS!N52,'GAS ASCII'!$B$2:$D$200,3)&lt;=0,"……………….","*"))</f>
        <v>……………….</v>
      </c>
      <c r="K52" s="27"/>
      <c r="L52" s="406">
        <f>IF(VLOOKUP(GAS!N52,'GAS ASCII'!$B$2:$E$200,4)&gt;=500000,VLOOKUP(GAS!N52,'GAS ASCII'!$B$2:$E$200,4)/1000000,IF(VLOOKUP(GAS!N52,'GAS ASCII'!$B$2:$E$200,4)&lt;=0,"……………….","*"))</f>
        <v>87.25965503</v>
      </c>
      <c r="M52" s="21"/>
      <c r="N52" t="s">
        <v>165</v>
      </c>
      <c r="O52" s="283"/>
    </row>
    <row r="53" spans="3:15" ht="15.75" customHeight="1">
      <c r="C53" s="9" t="s">
        <v>910</v>
      </c>
      <c r="H53" s="406">
        <f>IF(VLOOKUP(GAS!N53,'GAS ASCII'!$B$2:$C$200,2)&gt;=500000,VLOOKUP(GAS!N53,'GAS ASCII'!$B$2:$C$200,2)/1000000,IF(VLOOKUP(GAS!N53,'GAS ASCII'!$B$2:$C$200,2)&lt;=0,"……………….","*"))</f>
        <v>454.583</v>
      </c>
      <c r="I53" s="21"/>
      <c r="J53" s="406">
        <f>IF(VLOOKUP(GAS!N53,'GAS ASCII'!$B$2:$D$200,3)&gt;=500000,VLOOKUP(GAS!N53,'GAS ASCII'!$B$2:$D$200,3)/-1000000,IF(VLOOKUP(GAS!N53,'GAS ASCII'!$B$2:$D$200,3)&lt;=0,"……………….","*"))</f>
        <v>-10</v>
      </c>
      <c r="K53" s="27"/>
      <c r="L53" s="406">
        <f>IF(VLOOKUP(GAS!N53,'GAS ASCII'!$B$2:$E$200,4)&gt;=500000,VLOOKUP(GAS!N53,'GAS ASCII'!$B$2:$E$200,4)/1000000,IF(VLOOKUP(GAS!N53,'GAS ASCII'!$B$2:$E$200,4)&lt;=0,"……………….","*"))</f>
        <v>444.583</v>
      </c>
      <c r="M53" s="21"/>
      <c r="N53" t="s">
        <v>167</v>
      </c>
      <c r="O53" s="283"/>
    </row>
    <row r="54" spans="3:15" ht="15.75" customHeight="1">
      <c r="C54" s="9" t="s">
        <v>633</v>
      </c>
      <c r="H54" s="406">
        <f>IF(VLOOKUP(GAS!N54,'GAS ASCII'!$B$2:$C$200,2)&gt;=500000,VLOOKUP(GAS!N54,'GAS ASCII'!$B$2:$C$200,2)/1000000,IF(VLOOKUP(GAS!N54,'GAS ASCII'!$B$2:$C$200,2)&lt;=0,"……………….","*"))</f>
        <v>589.17</v>
      </c>
      <c r="I54" s="21"/>
      <c r="J54" s="406" t="str">
        <f>IF(VLOOKUP(GAS!N54,'GAS ASCII'!$B$2:$D$200,3)&gt;=500000,VLOOKUP(GAS!N54,'GAS ASCII'!$B$2:$D$200,3)/-1000000,IF(VLOOKUP(GAS!N54,'GAS ASCII'!$B$2:$D$200,3)&lt;=0,"……………….","*"))</f>
        <v>……………….</v>
      </c>
      <c r="K54" s="27"/>
      <c r="L54" s="406">
        <f>IF(VLOOKUP(GAS!N54,'GAS ASCII'!$B$2:$E$200,4)&gt;=500000,VLOOKUP(GAS!N54,'GAS ASCII'!$B$2:$E$200,4)/1000000,IF(VLOOKUP(GAS!N54,'GAS ASCII'!$B$2:$E$200,4)&lt;=0,"……………….","*"))</f>
        <v>589.17</v>
      </c>
      <c r="M54" s="21"/>
      <c r="N54" t="s">
        <v>169</v>
      </c>
      <c r="O54" s="283"/>
    </row>
    <row r="55" spans="3:15" ht="15.75" customHeight="1">
      <c r="C55" s="9" t="s">
        <v>867</v>
      </c>
      <c r="H55" s="406">
        <f>IF(VLOOKUP(GAS!N55,'GAS ASCII'!$B$2:$C$200,2)&gt;=500000,VLOOKUP(GAS!N55,'GAS ASCII'!$B$2:$C$200,2)/1000000,IF(VLOOKUP(GAS!N55,'GAS ASCII'!$B$2:$C$200,2)&lt;=0,"……………….","*"))</f>
        <v>71.508</v>
      </c>
      <c r="I55" s="21"/>
      <c r="J55" s="406" t="str">
        <f>IF(VLOOKUP(GAS!N55,'GAS ASCII'!$B$2:$D$200,3)&gt;=500000,VLOOKUP(GAS!N55,'GAS ASCII'!$B$2:$D$200,3)/-1000000,IF(VLOOKUP(GAS!N55,'GAS ASCII'!$B$2:$D$200,3)&lt;=0,"……………….","*"))</f>
        <v>……………….</v>
      </c>
      <c r="K55" s="27"/>
      <c r="L55" s="406">
        <f>IF(VLOOKUP(GAS!N55,'GAS ASCII'!$B$2:$E$200,4)&gt;=500000,VLOOKUP(GAS!N55,'GAS ASCII'!$B$2:$E$200,4)/1000000,IF(VLOOKUP(GAS!N55,'GAS ASCII'!$B$2:$E$200,4)&lt;=0,"……………….","*"))</f>
        <v>71.508</v>
      </c>
      <c r="M55" s="21"/>
      <c r="N55" t="s">
        <v>171</v>
      </c>
      <c r="O55" s="283"/>
    </row>
    <row r="56" spans="8:15" ht="15.75" customHeight="1">
      <c r="H56" s="406"/>
      <c r="I56" s="21"/>
      <c r="J56" s="406"/>
      <c r="K56" s="21"/>
      <c r="L56" s="406"/>
      <c r="M56" s="21"/>
      <c r="O56" s="283"/>
    </row>
    <row r="57" spans="3:15" ht="15.75" customHeight="1">
      <c r="C57" s="9" t="s">
        <v>980</v>
      </c>
      <c r="H57" s="406">
        <f>IF(VLOOKUP(GAS!N57,'GAS ASCII'!$B$2:$C$200,2)&gt;=500000,VLOOKUP(GAS!N57,'GAS ASCII'!$B$2:$C$200,2)/1000000,IF(VLOOKUP(GAS!N57,'GAS ASCII'!$B$2:$C$200,2)&lt;=0,"……………….","*"))</f>
        <v>33097.86415</v>
      </c>
      <c r="I57" s="21"/>
      <c r="J57" s="406">
        <f>IF(VLOOKUP(GAS!N57,'GAS ASCII'!$B$2:$D$200,3)&gt;=500000,VLOOKUP(GAS!N57,'GAS ASCII'!$B$2:$D$200,3)/-1000000,IF(VLOOKUP(GAS!N57,'GAS ASCII'!$B$2:$D$200,3)&lt;=0,"……………….","*"))</f>
        <v>-1518</v>
      </c>
      <c r="K57" s="27"/>
      <c r="L57" s="406">
        <f>IF(VLOOKUP(GAS!N57,'GAS ASCII'!$B$2:$E$200,4)&gt;=500000,VLOOKUP(GAS!N57,'GAS ASCII'!$B$2:$E$200,4)/1000000,IF(VLOOKUP(GAS!N57,'GAS ASCII'!$B$2:$E$200,4)&lt;=0,"……………….","*"))</f>
        <v>31579.86415</v>
      </c>
      <c r="M57" s="21"/>
      <c r="N57" t="s">
        <v>173</v>
      </c>
      <c r="O57" s="283"/>
    </row>
    <row r="58" spans="2:15" ht="15.75" customHeight="1">
      <c r="B58" s="162"/>
      <c r="C58" s="9" t="s">
        <v>977</v>
      </c>
      <c r="D58" s="78"/>
      <c r="H58" s="406">
        <f>IF(VLOOKUP(GAS!N58,'GAS ASCII'!$B$2:$C$200,2)&gt;=500000,VLOOKUP(GAS!N58,'GAS ASCII'!$B$2:$C$200,2)/1000000,IF(VLOOKUP(GAS!N58,'GAS ASCII'!$B$2:$C$200,2)&lt;=0,"……………….","*"))</f>
        <v>0.734</v>
      </c>
      <c r="I58" s="21"/>
      <c r="J58" s="406" t="str">
        <f>IF(VLOOKUP(GAS!N58,'GAS ASCII'!$B$2:$D$200,3)&gt;=500000,VLOOKUP(GAS!N58,'GAS ASCII'!$B$2:$D$200,3)/-1000000,IF(VLOOKUP(GAS!N58,'GAS ASCII'!$B$2:$D$200,3)&lt;=0,"……………….","*"))</f>
        <v>……………….</v>
      </c>
      <c r="K58" s="27"/>
      <c r="L58" s="406">
        <f>IF(VLOOKUP(GAS!N58,'GAS ASCII'!$B$2:$E$200,4)&gt;=500000,VLOOKUP(GAS!N58,'GAS ASCII'!$B$2:$E$200,4)/1000000,IF(VLOOKUP(GAS!N58,'GAS ASCII'!$B$2:$E$200,4)&lt;=0,"……………….","*"))</f>
        <v>0.734</v>
      </c>
      <c r="M58" s="21"/>
      <c r="N58" t="s">
        <v>175</v>
      </c>
      <c r="O58" s="283"/>
    </row>
    <row r="59" spans="3:15" ht="15.75" customHeight="1">
      <c r="C59" s="9" t="s">
        <v>452</v>
      </c>
      <c r="H59" s="406">
        <f>IF(VLOOKUP(GAS!N59,'GAS ASCII'!$B$2:$C$200,2)&gt;=500000,VLOOKUP(GAS!N59,'GAS ASCII'!$B$2:$C$200,2)/1000000,IF(VLOOKUP(GAS!N59,'GAS ASCII'!$B$2:$C$200,2)&lt;=0,"……………….","*"))</f>
        <v>1.677</v>
      </c>
      <c r="I59" s="21"/>
      <c r="J59" s="406" t="str">
        <f>IF(VLOOKUP(GAS!N59,'GAS ASCII'!$B$2:$D$200,3)&gt;=500000,VLOOKUP(GAS!N59,'GAS ASCII'!$B$2:$D$200,3)/-1000000,IF(VLOOKUP(GAS!N59,'GAS ASCII'!$B$2:$D$200,3)&lt;=0,"……………….","*"))</f>
        <v>……………….</v>
      </c>
      <c r="K59" s="27"/>
      <c r="L59" s="406">
        <f>IF(VLOOKUP(GAS!N59,'GAS ASCII'!$B$2:$E$200,4)&gt;=500000,VLOOKUP(GAS!N59,'GAS ASCII'!$B$2:$E$200,4)/1000000,IF(VLOOKUP(GAS!N59,'GAS ASCII'!$B$2:$E$200,4)&lt;=0,"……………….","*"))</f>
        <v>1.677</v>
      </c>
      <c r="M59" s="121"/>
      <c r="N59" t="s">
        <v>177</v>
      </c>
      <c r="O59" s="283"/>
    </row>
    <row r="60" spans="3:15" ht="15.75" customHeight="1">
      <c r="C60" s="9" t="s">
        <v>535</v>
      </c>
      <c r="H60" s="406"/>
      <c r="I60" s="21"/>
      <c r="J60" s="406"/>
      <c r="K60" s="27"/>
      <c r="L60" s="406"/>
      <c r="M60" s="121"/>
      <c r="O60" s="283"/>
    </row>
    <row r="61" spans="3:15" ht="15.75" customHeight="1">
      <c r="C61" s="9" t="s">
        <v>676</v>
      </c>
      <c r="H61" s="406" t="str">
        <f>IF(VLOOKUP(GAS!N61,'GAS ASCII'!$B$2:$C$200,2)&gt;=500000,VLOOKUP(GAS!N61,'GAS ASCII'!$B$2:$C$200,2)/1000000,IF(VLOOKUP(GAS!N61,'GAS ASCII'!$B$2:$C$200,2)&lt;=0,"……………….","*"))</f>
        <v>*</v>
      </c>
      <c r="I61" s="21"/>
      <c r="J61" s="406" t="str">
        <f>IF(VLOOKUP(GAS!N61,'GAS ASCII'!$B$2:$D$200,3)&gt;=500000,VLOOKUP(GAS!N61,'GAS ASCII'!$B$2:$D$200,3)/-1000000,IF(VLOOKUP(GAS!N61,'GAS ASCII'!$B$2:$D$200,3)&lt;=0,"……………….","*"))</f>
        <v>……………….</v>
      </c>
      <c r="K61" s="27"/>
      <c r="L61" s="406" t="str">
        <f>IF(VLOOKUP(GAS!N61,'GAS ASCII'!$B$2:$E$200,4)&gt;=500000,VLOOKUP(GAS!N61,'GAS ASCII'!$B$2:$E$200,4)/1000000,IF(VLOOKUP(GAS!N61,'GAS ASCII'!$B$2:$E$200,4)&lt;=0,"……………….","*"))</f>
        <v>*</v>
      </c>
      <c r="M61" s="121"/>
      <c r="N61" t="s">
        <v>1042</v>
      </c>
      <c r="O61" s="283"/>
    </row>
    <row r="62" spans="8:15" ht="15.75" customHeight="1">
      <c r="H62" s="406"/>
      <c r="I62" s="109"/>
      <c r="J62" s="406"/>
      <c r="K62" s="27"/>
      <c r="L62" s="406"/>
      <c r="M62" s="21"/>
      <c r="O62" s="283"/>
    </row>
    <row r="63" spans="3:15" ht="15.75" customHeight="1">
      <c r="C63" s="9" t="s">
        <v>449</v>
      </c>
      <c r="H63" s="406">
        <f>IF(VLOOKUP(GAS!N63,'GAS ASCII'!$B$2:$C$200,2)&gt;=500000,VLOOKUP(GAS!N63,'GAS ASCII'!$B$2:$C$200,2)/1000000,IF(VLOOKUP(GAS!N63,'GAS ASCII'!$B$2:$C$200,2)&lt;=0,"……………….","*"))</f>
        <v>71.927</v>
      </c>
      <c r="I63" s="21"/>
      <c r="J63" s="406" t="str">
        <f>IF(VLOOKUP(GAS!N63,'GAS ASCII'!$B$2:$D$200,3)&gt;=500000,VLOOKUP(GAS!N63,'GAS ASCII'!$B$2:$D$200,3)/-1000000,IF(VLOOKUP(GAS!N63,'GAS ASCII'!$B$2:$D$200,3)&lt;=0,"……………….","*"))</f>
        <v>……………….</v>
      </c>
      <c r="K63" s="27"/>
      <c r="L63" s="406">
        <f>IF(VLOOKUP(GAS!N63,'GAS ASCII'!$B$2:$E$200,4)&gt;=500000,VLOOKUP(GAS!N63,'GAS ASCII'!$B$2:$E$200,4)/1000000,IF(VLOOKUP(GAS!N63,'GAS ASCII'!$B$2:$E$200,4)&lt;=0,"……………….","*"))</f>
        <v>71.927</v>
      </c>
      <c r="M63" s="21"/>
      <c r="N63" t="s">
        <v>1044</v>
      </c>
      <c r="O63" s="283"/>
    </row>
    <row r="64" spans="3:15" ht="15.75" customHeight="1">
      <c r="C64" s="9" t="s">
        <v>536</v>
      </c>
      <c r="H64" s="406"/>
      <c r="I64" s="21"/>
      <c r="J64" s="406"/>
      <c r="K64" s="27"/>
      <c r="L64" s="406"/>
      <c r="M64" s="21"/>
      <c r="O64" s="283"/>
    </row>
    <row r="65" spans="3:15" ht="15.75" customHeight="1">
      <c r="C65" s="9" t="s">
        <v>588</v>
      </c>
      <c r="H65" s="406">
        <f>IF(VLOOKUP(GAS!N65,'GAS ASCII'!$B$2:$C$200,2)&gt;=500000,VLOOKUP(GAS!N65,'GAS ASCII'!$B$2:$C$200,2)/1000000,IF(VLOOKUP(GAS!N65,'GAS ASCII'!$B$2:$C$200,2)&lt;=0,"……………….","*"))</f>
        <v>23.812</v>
      </c>
      <c r="I65" s="21"/>
      <c r="J65" s="406" t="str">
        <f>IF(VLOOKUP(GAS!N65,'GAS ASCII'!$B$2:$D$200,3)&gt;=500000,VLOOKUP(GAS!N65,'GAS ASCII'!$B$2:$D$200,3)/-1000000,IF(VLOOKUP(GAS!N65,'GAS ASCII'!$B$2:$D$200,3)&lt;=0,"……………….","*"))</f>
        <v>……………….</v>
      </c>
      <c r="K65" s="27"/>
      <c r="L65" s="406">
        <f>IF(VLOOKUP(GAS!N65,'GAS ASCII'!$B$2:$E$200,4)&gt;=500000,VLOOKUP(GAS!N65,'GAS ASCII'!$B$2:$E$200,4)/1000000,IF(VLOOKUP(GAS!N65,'GAS ASCII'!$B$2:$E$200,4)&lt;=0,"……………….","*"))</f>
        <v>23.812</v>
      </c>
      <c r="M65" s="121"/>
      <c r="N65" t="s">
        <v>1046</v>
      </c>
      <c r="O65" s="283"/>
    </row>
    <row r="66" spans="3:15" ht="15.75" customHeight="1">
      <c r="C66" s="9" t="s">
        <v>450</v>
      </c>
      <c r="H66" s="406"/>
      <c r="I66" s="21"/>
      <c r="J66" s="406"/>
      <c r="K66" s="21"/>
      <c r="L66" s="406"/>
      <c r="M66" s="21"/>
      <c r="O66" s="283"/>
    </row>
    <row r="67" spans="3:15" ht="15.75" customHeight="1">
      <c r="C67" s="9" t="s">
        <v>1214</v>
      </c>
      <c r="H67" s="406">
        <f>IF(VLOOKUP(GAS!N67,'GAS ASCII'!$B$2:$C$200,2)&gt;=500000,VLOOKUP(GAS!N67,'GAS ASCII'!$B$2:$C$200,2)/1000000,IF(VLOOKUP(GAS!N67,'GAS ASCII'!$B$2:$C$200,2)&lt;=0,"……………….","*"))</f>
        <v>2.96</v>
      </c>
      <c r="I67" s="21"/>
      <c r="J67" s="406" t="str">
        <f>IF(VLOOKUP(GAS!N67,'GAS ASCII'!$B$2:$D$200,3)&gt;=500000,VLOOKUP(GAS!N67,'GAS ASCII'!$B$2:$D$200,3)/-1000000,IF(VLOOKUP(GAS!N67,'GAS ASCII'!$B$2:$D$200,3)&lt;=0,"……………….","*"))</f>
        <v>……………….</v>
      </c>
      <c r="K67" s="27"/>
      <c r="L67" s="406">
        <f>IF(VLOOKUP(GAS!N67,'GAS ASCII'!$B$2:$E$200,4)&gt;=500000,VLOOKUP(GAS!N67,'GAS ASCII'!$B$2:$E$200,4)/1000000,IF(VLOOKUP(GAS!N67,'GAS ASCII'!$B$2:$E$200,4)&lt;=0,"……………….","*"))</f>
        <v>2.96</v>
      </c>
      <c r="M67" s="21"/>
      <c r="N67" t="s">
        <v>1048</v>
      </c>
      <c r="O67" s="283"/>
    </row>
    <row r="68" spans="3:15" ht="15.75" customHeight="1">
      <c r="C68" s="9" t="s">
        <v>1215</v>
      </c>
      <c r="H68" s="406">
        <f>IF(VLOOKUP(GAS!N68,'GAS ASCII'!$B$2:$C$200,2)&gt;=500000,VLOOKUP(GAS!N68,'GAS ASCII'!$B$2:$C$200,2)/1000000,IF(VLOOKUP(GAS!N68,'GAS ASCII'!$B$2:$C$200,2)&lt;=0,"……………….","*"))</f>
        <v>727508.87045953</v>
      </c>
      <c r="I68" s="21"/>
      <c r="J68" s="406">
        <f>IF(VLOOKUP(GAS!N68,'GAS ASCII'!$B$2:$D$200,3)&gt;=500000,VLOOKUP(GAS!N68,'GAS ASCII'!$B$2:$D$200,3)/-1000000,IF(VLOOKUP(GAS!N68,'GAS ASCII'!$B$2:$D$200,3)&lt;=0,"……………….","*"))</f>
        <v>-124017.99337422999</v>
      </c>
      <c r="K68" s="21"/>
      <c r="L68" s="406">
        <f>IF(VLOOKUP(GAS!N68,'GAS ASCII'!$B$2:$E$200,4)&gt;=500000,VLOOKUP(GAS!N68,'GAS ASCII'!$B$2:$E$200,4)/1000000,IF(VLOOKUP(GAS!N68,'GAS ASCII'!$B$2:$E$200,4)&lt;=0,"……………….","*"))</f>
        <v>603490.8770853</v>
      </c>
      <c r="M68" s="21"/>
      <c r="N68" t="s">
        <v>1050</v>
      </c>
      <c r="O68" s="283"/>
    </row>
    <row r="69" spans="3:15" ht="15.75" customHeight="1">
      <c r="C69" s="9" t="s">
        <v>451</v>
      </c>
      <c r="H69" s="406">
        <f>IF(VLOOKUP(GAS!N69,'GAS ASCII'!$B$2:$C$200,2)&gt;=500000,VLOOKUP(GAS!N69,'GAS ASCII'!$B$2:$C$200,2)/1000000,IF(VLOOKUP(GAS!N69,'GAS ASCII'!$B$2:$C$200,2)&lt;=0,"……………….","*"))</f>
        <v>12.671</v>
      </c>
      <c r="I69" s="21"/>
      <c r="J69" s="406" t="str">
        <f>IF(VLOOKUP(GAS!N69,'GAS ASCII'!$B$2:$D$200,3)&gt;=500000,VLOOKUP(GAS!N69,'GAS ASCII'!$B$2:$D$200,3)/-1000000,IF(VLOOKUP(GAS!N69,'GAS ASCII'!$B$2:$D$200,3)&lt;=0,"……………….","*"))</f>
        <v>……………….</v>
      </c>
      <c r="K69" s="27"/>
      <c r="L69" s="406">
        <f>IF(VLOOKUP(GAS!N69,'GAS ASCII'!$B$2:$E$200,4)&gt;=500000,VLOOKUP(GAS!N69,'GAS ASCII'!$B$2:$E$200,4)/1000000,IF(VLOOKUP(GAS!N69,'GAS ASCII'!$B$2:$E$200,4)&lt;=0,"……………….","*"))</f>
        <v>12.671</v>
      </c>
      <c r="M69" s="21"/>
      <c r="N69" t="s">
        <v>1052</v>
      </c>
      <c r="O69" s="283"/>
    </row>
    <row r="70" spans="3:15" ht="15.75" customHeight="1">
      <c r="C70" s="9" t="s">
        <v>1080</v>
      </c>
      <c r="H70" s="406">
        <f>IF(VLOOKUP(GAS!N70,'GAS ASCII'!$B$2:$C$200,2)&gt;=500000,VLOOKUP(GAS!N70,'GAS ASCII'!$B$2:$C$200,2)/1000000,IF(VLOOKUP(GAS!N70,'GAS ASCII'!$B$2:$C$200,2)&lt;=0,"……………….","*"))</f>
        <v>1.27</v>
      </c>
      <c r="I70" s="21"/>
      <c r="J70" s="406" t="str">
        <f>IF(VLOOKUP(GAS!N70,'GAS ASCII'!$B$2:$D$200,3)&gt;=500000,VLOOKUP(GAS!N70,'GAS ASCII'!$B$2:$D$200,3)/-1000000,IF(VLOOKUP(GAS!N70,'GAS ASCII'!$B$2:$D$200,3)&lt;=0,"……………….","*"))</f>
        <v>……………….</v>
      </c>
      <c r="K70" s="27"/>
      <c r="L70" s="406">
        <f>IF(VLOOKUP(GAS!N70,'GAS ASCII'!$B$2:$E$200,4)&gt;=500000,VLOOKUP(GAS!N70,'GAS ASCII'!$B$2:$E$200,4)/1000000,IF(VLOOKUP(GAS!N70,'GAS ASCII'!$B$2:$E$200,4)&lt;=0,"……………….","*"))</f>
        <v>1.27</v>
      </c>
      <c r="M70" s="21"/>
      <c r="N70" t="s">
        <v>1054</v>
      </c>
      <c r="O70" s="283"/>
    </row>
    <row r="71" spans="3:15" ht="15.75" customHeight="1">
      <c r="C71" s="9" t="s">
        <v>62</v>
      </c>
      <c r="H71" s="406"/>
      <c r="I71" s="21"/>
      <c r="J71" s="406"/>
      <c r="K71" s="27"/>
      <c r="L71" s="406"/>
      <c r="M71" s="21"/>
      <c r="O71" s="283"/>
    </row>
    <row r="72" spans="3:15" ht="15.75" customHeight="1">
      <c r="C72" s="9" t="s">
        <v>874</v>
      </c>
      <c r="H72" s="406">
        <f>IF(VLOOKUP(GAS!N72,'GAS ASCII'!$B$2:$C$200,2)&gt;=500000,VLOOKUP(GAS!N72,'GAS ASCII'!$B$2:$C$200,2)/1000000,IF(VLOOKUP(GAS!N72,'GAS ASCII'!$B$2:$C$200,2)&lt;=0,"……………….","*"))</f>
        <v>9</v>
      </c>
      <c r="I72" s="21"/>
      <c r="J72" s="406" t="str">
        <f>IF(VLOOKUP(GAS!N72,'GAS ASCII'!$B$2:$D$200,3)&gt;=500000,VLOOKUP(GAS!N72,'GAS ASCII'!$B$2:$D$200,3)/-1000000,IF(VLOOKUP(GAS!N72,'GAS ASCII'!$B$2:$D$200,3)&lt;=0,"……………….","*"))</f>
        <v>……………….</v>
      </c>
      <c r="K72" s="27"/>
      <c r="L72" s="406">
        <f>IF(VLOOKUP(GAS!N72,'GAS ASCII'!$B$2:$E$200,4)&gt;=500000,VLOOKUP(GAS!N72,'GAS ASCII'!$B$2:$E$200,4)/1000000,IF(VLOOKUP(GAS!N72,'GAS ASCII'!$B$2:$E$200,4)&lt;=0,"……………….","*"))</f>
        <v>9</v>
      </c>
      <c r="M72" s="21"/>
      <c r="N72" t="s">
        <v>1056</v>
      </c>
      <c r="O72" s="283"/>
    </row>
    <row r="73" spans="3:15" ht="15.75" customHeight="1">
      <c r="C73" s="9" t="s">
        <v>116</v>
      </c>
      <c r="H73" s="406">
        <f>IF(VLOOKUP(GAS!N73,'GAS ASCII'!$B$2:$C$200,2)&gt;=500000,VLOOKUP(GAS!N73,'GAS ASCII'!$B$2:$C$200,2)/1000000,IF(VLOOKUP(GAS!N73,'GAS ASCII'!$B$2:$C$200,2)&lt;=0,"……………….","*"))</f>
        <v>4.05</v>
      </c>
      <c r="I73" s="21"/>
      <c r="J73" s="406" t="str">
        <f>IF(VLOOKUP(GAS!N73,'GAS ASCII'!$B$2:$D$200,3)&gt;=500000,VLOOKUP(GAS!N73,'GAS ASCII'!$B$2:$D$200,3)/-1000000,IF(VLOOKUP(GAS!N73,'GAS ASCII'!$B$2:$D$200,3)&lt;=0,"……………….","*"))</f>
        <v>……………….</v>
      </c>
      <c r="K73" s="27"/>
      <c r="L73" s="406">
        <f>IF(VLOOKUP(GAS!N73,'GAS ASCII'!$B$2:$E$200,4)&gt;=500000,VLOOKUP(GAS!N73,'GAS ASCII'!$B$2:$E$200,4)/1000000,IF(VLOOKUP(GAS!N73,'GAS ASCII'!$B$2:$E$200,4)&lt;=0,"……………….","*"))</f>
        <v>4.05</v>
      </c>
      <c r="M73" s="121"/>
      <c r="N73" t="s">
        <v>1058</v>
      </c>
      <c r="O73" s="283"/>
    </row>
    <row r="74" spans="3:15" ht="15.75" customHeight="1">
      <c r="C74" s="9" t="s">
        <v>309</v>
      </c>
      <c r="H74" s="406">
        <f>IF(VLOOKUP(GAS!N74,'GAS ASCII'!$B$2:$C$200,2)&gt;=500000,VLOOKUP(GAS!N74,'GAS ASCII'!$B$2:$C$200,2)/1000000,IF(VLOOKUP(GAS!N74,'GAS ASCII'!$B$2:$C$200,2)&lt;=0,"……………….","*"))</f>
        <v>31.828</v>
      </c>
      <c r="I74" s="21"/>
      <c r="J74" s="406" t="str">
        <f>IF(VLOOKUP(GAS!N74,'GAS ASCII'!$B$2:$D$200,3)&gt;=500000,VLOOKUP(GAS!N74,'GAS ASCII'!$B$2:$D$200,3)/-1000000,IF(VLOOKUP(GAS!N74,'GAS ASCII'!$B$2:$D$200,3)&lt;=0,"……………….","*"))</f>
        <v>……………….</v>
      </c>
      <c r="K74" s="27"/>
      <c r="L74" s="406">
        <f>IF(VLOOKUP(GAS!N74,'GAS ASCII'!$B$2:$E$200,4)&gt;=500000,VLOOKUP(GAS!N74,'GAS ASCII'!$B$2:$E$200,4)/1000000,IF(VLOOKUP(GAS!N74,'GAS ASCII'!$B$2:$E$200,4)&lt;=0,"……………….","*"))</f>
        <v>31.828</v>
      </c>
      <c r="M74" s="21"/>
      <c r="N74" t="s">
        <v>1060</v>
      </c>
      <c r="O74" s="283"/>
    </row>
    <row r="75" spans="3:15" ht="15.75" customHeight="1">
      <c r="C75" s="9" t="s">
        <v>312</v>
      </c>
      <c r="H75" s="406">
        <f>IF(VLOOKUP(GAS!N75,'GAS ASCII'!$B$2:$C$200,2)&gt;=500000,VLOOKUP(GAS!N75,'GAS ASCII'!$B$2:$C$200,2)/1000000,IF(VLOOKUP(GAS!N75,'GAS ASCII'!$B$2:$C$200,2)&lt;=0,"……………….","*"))</f>
        <v>9.32</v>
      </c>
      <c r="I75" s="21"/>
      <c r="J75" s="406" t="str">
        <f>IF(VLOOKUP(GAS!N75,'GAS ASCII'!$B$2:$D$200,3)&gt;=500000,VLOOKUP(GAS!N75,'GAS ASCII'!$B$2:$D$200,3)/-1000000,IF(VLOOKUP(GAS!N75,'GAS ASCII'!$B$2:$D$200,3)&lt;=0,"……………….","*"))</f>
        <v>……………….</v>
      </c>
      <c r="K75" s="27"/>
      <c r="L75" s="406">
        <f>IF(VLOOKUP(GAS!N75,'GAS ASCII'!$B$2:$E$200,4)&gt;=500000,VLOOKUP(GAS!N75,'GAS ASCII'!$B$2:$E$200,4)/1000000,IF(VLOOKUP(GAS!N75,'GAS ASCII'!$B$2:$E$200,4)&lt;=0,"……………….","*"))</f>
        <v>9.32</v>
      </c>
      <c r="M75" s="21"/>
      <c r="N75" t="s">
        <v>1062</v>
      </c>
      <c r="O75" s="283"/>
    </row>
    <row r="76" spans="3:15" ht="15.75" customHeight="1">
      <c r="C76" s="9"/>
      <c r="H76" s="406"/>
      <c r="I76" s="21"/>
      <c r="J76" s="406"/>
      <c r="K76" s="27"/>
      <c r="L76" s="406"/>
      <c r="M76" s="21"/>
      <c r="O76" s="283"/>
    </row>
    <row r="77" spans="3:15" ht="15.75" customHeight="1">
      <c r="C77" s="9" t="s">
        <v>1219</v>
      </c>
      <c r="H77" s="406" t="str">
        <f>IF(VLOOKUP(GAS!N77,'GAS ASCII'!$B$2:$C$200,2)&gt;=500000,VLOOKUP(GAS!N77,'GAS ASCII'!$B$2:$C$200,2)/1000000,IF(VLOOKUP(GAS!N77,'GAS ASCII'!$B$2:$C$200,2)&lt;=0,"……………….","*"))</f>
        <v>*</v>
      </c>
      <c r="I77" s="396"/>
      <c r="J77" s="406" t="str">
        <f>IF(VLOOKUP(GAS!N77,'GAS ASCII'!$B$2:$D$200,3)&gt;=500000,VLOOKUP(GAS!N77,'GAS ASCII'!$B$2:$D$200,3)/-1000000,IF(VLOOKUP(GAS!N77,'GAS ASCII'!$B$2:$D$200,3)&lt;=0,"……………….","*"))</f>
        <v>……………….</v>
      </c>
      <c r="K77" s="27"/>
      <c r="L77" s="406" t="str">
        <f>IF(VLOOKUP(GAS!N77,'GAS ASCII'!$B$2:$E$200,4)&gt;=500000,VLOOKUP(GAS!N77,'GAS ASCII'!$B$2:$E$200,4)/1000000,IF(VLOOKUP(GAS!N77,'GAS ASCII'!$B$2:$E$200,4)&lt;=0,"……………….","*"))</f>
        <v>*</v>
      </c>
      <c r="M77" s="21"/>
      <c r="N77" t="s">
        <v>1207</v>
      </c>
      <c r="O77" s="283"/>
    </row>
    <row r="78" spans="3:15" ht="15.75" customHeight="1">
      <c r="C78" s="9" t="s">
        <v>303</v>
      </c>
      <c r="H78" s="406">
        <f>IF(VLOOKUP(GAS!N78,'GAS ASCII'!$B$2:$C$200,2)&gt;=500000,VLOOKUP(GAS!N78,'GAS ASCII'!$B$2:$C$200,2)/1000000,IF(VLOOKUP(GAS!N78,'GAS ASCII'!$B$2:$C$200,2)&lt;=0,"……………….","*"))</f>
        <v>992.17635793</v>
      </c>
      <c r="I78" s="396"/>
      <c r="J78" s="406" t="str">
        <f>IF(VLOOKUP(GAS!N78,'GAS ASCII'!$B$2:$D$200,3)&gt;=500000,VLOOKUP(GAS!N78,'GAS ASCII'!$B$2:$D$200,3)/-1000000,IF(VLOOKUP(GAS!N78,'GAS ASCII'!$B$2:$D$200,3)&lt;=0,"……………….","*"))</f>
        <v>……………….</v>
      </c>
      <c r="K78" s="27"/>
      <c r="L78" s="406">
        <f>IF(VLOOKUP(GAS!N78,'GAS ASCII'!$B$2:$E$200,4)&gt;=500000,VLOOKUP(GAS!N78,'GAS ASCII'!$B$2:$E$200,4)/1000000,IF(VLOOKUP(GAS!N78,'GAS ASCII'!$B$2:$E$200,4)&lt;=0,"……………….","*"))</f>
        <v>992.17635793</v>
      </c>
      <c r="M78" s="21"/>
      <c r="N78" t="s">
        <v>1064</v>
      </c>
      <c r="O78" s="283"/>
    </row>
    <row r="79" spans="3:15" ht="15.75" customHeight="1">
      <c r="C79" s="9" t="s">
        <v>1072</v>
      </c>
      <c r="H79" s="406">
        <f>IF(VLOOKUP(GAS!N79,'GAS ASCII'!$B$2:$C$200,2)&gt;=500000,VLOOKUP(GAS!N79,'GAS ASCII'!$B$2:$C$200,2)/1000000,IF(VLOOKUP(GAS!N79,'GAS ASCII'!$B$2:$C$200,2)&lt;=0,"……………….","*"))</f>
        <v>34472.6363919</v>
      </c>
      <c r="I79" s="396"/>
      <c r="J79" s="406" t="str">
        <f>IF(VLOOKUP(GAS!N79,'GAS ASCII'!$B$2:$D$200,3)&gt;=500000,VLOOKUP(GAS!N79,'GAS ASCII'!$B$2:$D$200,3)/-1000000,IF(VLOOKUP(GAS!N79,'GAS ASCII'!$B$2:$D$200,3)&lt;=0,"……………….","*"))</f>
        <v>……………….</v>
      </c>
      <c r="K79" s="27"/>
      <c r="L79" s="406">
        <f>IF(VLOOKUP(GAS!N79,'GAS ASCII'!$B$2:$E$200,4)&gt;=500000,VLOOKUP(GAS!N79,'GAS ASCII'!$B$2:$E$200,4)/1000000,IF(VLOOKUP(GAS!N79,'GAS ASCII'!$B$2:$E$200,4)&lt;=0,"……………….","*"))</f>
        <v>34472.6363919</v>
      </c>
      <c r="M79" s="21"/>
      <c r="N79" t="s">
        <v>1066</v>
      </c>
      <c r="O79" s="283"/>
    </row>
    <row r="80" spans="3:15" ht="15.75" customHeight="1">
      <c r="C80" s="9" t="s">
        <v>767</v>
      </c>
      <c r="H80" s="406">
        <f>IF(VLOOKUP(GAS!N80,'GAS ASCII'!$B$2:$C$200,2)&gt;=500000,VLOOKUP(GAS!N80,'GAS ASCII'!$B$2:$C$200,2)/1000000,IF(VLOOKUP(GAS!N80,'GAS ASCII'!$B$2:$C$200,2)&lt;=0,"……………….","*"))</f>
        <v>188038.75779129998</v>
      </c>
      <c r="I80" s="396"/>
      <c r="J80" s="406">
        <f>IF(VLOOKUP(GAS!N80,'GAS ASCII'!$B$2:$D$200,3)&gt;=500000,VLOOKUP(GAS!N80,'GAS ASCII'!$B$2:$D$200,3)/-1000000,IF(VLOOKUP(GAS!N80,'GAS ASCII'!$B$2:$D$200,3)&lt;=0,"……………….","*"))</f>
        <v>-5000.25</v>
      </c>
      <c r="K80" s="21"/>
      <c r="L80" s="406">
        <f>IF(VLOOKUP(GAS!N80,'GAS ASCII'!$B$2:$E$200,4)&gt;=500000,VLOOKUP(GAS!N80,'GAS ASCII'!$B$2:$E$200,4)/1000000,IF(VLOOKUP(GAS!N80,'GAS ASCII'!$B$2:$E$200,4)&lt;=0,"……………….","*"))</f>
        <v>183038.50779129998</v>
      </c>
      <c r="M80" s="21"/>
      <c r="N80" t="s">
        <v>1068</v>
      </c>
      <c r="O80" s="283"/>
    </row>
    <row r="81" spans="3:15" ht="15.75" customHeight="1">
      <c r="C81" s="9" t="s">
        <v>768</v>
      </c>
      <c r="H81" s="406">
        <f>IF(VLOOKUP(GAS!N81,'GAS ASCII'!$B$2:$C$200,2)&gt;=500000,VLOOKUP(GAS!N81,'GAS ASCII'!$B$2:$C$200,2)/1000000,IF(VLOOKUP(GAS!N81,'GAS ASCII'!$B$2:$C$200,2)&lt;=0,"……………….","*"))</f>
        <v>0.71</v>
      </c>
      <c r="I81" s="21"/>
      <c r="J81" s="406" t="str">
        <f>IF(VLOOKUP(GAS!N81,'GAS ASCII'!$B$2:$D$200,3)&gt;=500000,VLOOKUP(GAS!N81,'GAS ASCII'!$B$2:$D$200,3)/-1000000,IF(VLOOKUP(GAS!N81,'GAS ASCII'!$B$2:$D$200,3)&lt;=0,"……………….","*"))</f>
        <v>……………….</v>
      </c>
      <c r="K81" s="3"/>
      <c r="L81" s="406">
        <f>IF(VLOOKUP(GAS!N81,'GAS ASCII'!$B$2:$E$200,4)&gt;=500000,VLOOKUP(GAS!N81,'GAS ASCII'!$B$2:$E$200,4)/1000000,IF(VLOOKUP(GAS!N81,'GAS ASCII'!$B$2:$E$200,4)&lt;=0,"……………….","*"))</f>
        <v>0.71</v>
      </c>
      <c r="M81" s="21"/>
      <c r="N81" t="s">
        <v>596</v>
      </c>
      <c r="O81" s="283"/>
    </row>
    <row r="82" spans="3:15" ht="15.75" customHeight="1">
      <c r="C82" s="9" t="s">
        <v>49</v>
      </c>
      <c r="H82" s="406">
        <f>IF(VLOOKUP(GAS!N82,'GAS ASCII'!$B$2:$C$200,2)&gt;=500000,VLOOKUP(GAS!N82,'GAS ASCII'!$B$2:$C$200,2)/1000000,IF(VLOOKUP(GAS!N82,'GAS ASCII'!$B$2:$C$200,2)&lt;=0,"……………….","*"))</f>
        <v>2.718</v>
      </c>
      <c r="I82" s="21"/>
      <c r="J82" s="406" t="str">
        <f>IF(VLOOKUP(GAS!N82,'GAS ASCII'!$B$2:$D$200,3)&gt;=500000,VLOOKUP(GAS!N82,'GAS ASCII'!$B$2:$D$200,3)/-1000000,IF(VLOOKUP(GAS!N82,'GAS ASCII'!$B$2:$D$200,3)&lt;=0,"……………….","*"))</f>
        <v>……………….</v>
      </c>
      <c r="K82" s="27"/>
      <c r="L82" s="406">
        <f>IF(VLOOKUP(GAS!N82,'GAS ASCII'!$B$2:$E$200,4)&gt;=500000,VLOOKUP(GAS!N82,'GAS ASCII'!$B$2:$E$200,4)/1000000,IF(VLOOKUP(GAS!N82,'GAS ASCII'!$B$2:$E$200,4)&lt;=0,"……………….","*"))</f>
        <v>2.718</v>
      </c>
      <c r="M82" s="21"/>
      <c r="N82" t="s">
        <v>598</v>
      </c>
      <c r="O82" s="283"/>
    </row>
    <row r="83" spans="3:15" ht="15.75" customHeight="1">
      <c r="C83" s="9" t="s">
        <v>50</v>
      </c>
      <c r="H83" s="406">
        <f>IF(VLOOKUP(GAS!N83,'GAS ASCII'!$B$2:$C$200,2)&gt;=500000,VLOOKUP(GAS!N83,'GAS ASCII'!$B$2:$C$200,2)/1000000,IF(VLOOKUP(GAS!N83,'GAS ASCII'!$B$2:$C$200,2)&lt;=0,"……………….","*"))</f>
        <v>2.469</v>
      </c>
      <c r="I83" s="21"/>
      <c r="J83" s="406" t="str">
        <f>IF(VLOOKUP(GAS!N83,'GAS ASCII'!$B$2:$D$200,3)&gt;=500000,VLOOKUP(GAS!N83,'GAS ASCII'!$B$2:$D$200,3)/-1000000,IF(VLOOKUP(GAS!N83,'GAS ASCII'!$B$2:$D$200,3)&lt;=0,"……………….","*"))</f>
        <v>……………….</v>
      </c>
      <c r="K83" s="27"/>
      <c r="L83" s="406">
        <f>IF(VLOOKUP(GAS!N83,'GAS ASCII'!$B$2:$E$200,4)&gt;=500000,VLOOKUP(GAS!N83,'GAS ASCII'!$B$2:$E$200,4)/1000000,IF(VLOOKUP(GAS!N83,'GAS ASCII'!$B$2:$E$200,4)&lt;=0,"……………….","*"))</f>
        <v>2.469</v>
      </c>
      <c r="M83" s="108"/>
      <c r="N83" t="s">
        <v>600</v>
      </c>
      <c r="O83" s="283"/>
    </row>
    <row r="84" spans="3:15" ht="15.75" customHeight="1">
      <c r="C84" s="9" t="s">
        <v>52</v>
      </c>
      <c r="H84" s="406">
        <f>IF(VLOOKUP(GAS!N84,'GAS ASCII'!$B$2:$C$200,2)&gt;=500000,VLOOKUP(GAS!N84,'GAS ASCII'!$B$2:$C$200,2)/1000000,IF(VLOOKUP(GAS!N84,'GAS ASCII'!$B$2:$C$200,2)&lt;=0,"……………….","*"))</f>
        <v>93.443</v>
      </c>
      <c r="I84" s="21"/>
      <c r="J84" s="406" t="str">
        <f>IF(VLOOKUP(GAS!N84,'GAS ASCII'!$B$2:$D$200,3)&gt;=500000,VLOOKUP(GAS!N84,'GAS ASCII'!$B$2:$D$200,3)/-1000000,IF(VLOOKUP(GAS!N84,'GAS ASCII'!$B$2:$D$200,3)&lt;=0,"……………….","*"))</f>
        <v>……………….</v>
      </c>
      <c r="K84" s="27"/>
      <c r="L84" s="406">
        <f>IF(VLOOKUP(GAS!N84,'GAS ASCII'!$B$2:$E$200,4)&gt;=500000,VLOOKUP(GAS!N84,'GAS ASCII'!$B$2:$E$200,4)/1000000,IF(VLOOKUP(GAS!N84,'GAS ASCII'!$B$2:$E$200,4)&lt;=0,"……………….","*"))</f>
        <v>93.443</v>
      </c>
      <c r="M84" s="21"/>
      <c r="N84" t="s">
        <v>601</v>
      </c>
      <c r="O84" s="283"/>
    </row>
    <row r="85" spans="3:15" ht="15.75" customHeight="1">
      <c r="C85" s="9" t="s">
        <v>982</v>
      </c>
      <c r="H85" s="406">
        <f>IF(VLOOKUP(GAS!N85,'GAS ASCII'!$B$2:$C$200,2)&gt;=500000,VLOOKUP(GAS!N85,'GAS ASCII'!$B$2:$C$200,2)/1000000,IF(VLOOKUP(GAS!N85,'GAS ASCII'!$B$2:$C$200,2)&lt;=0,"……………….","*"))</f>
        <v>1891.689</v>
      </c>
      <c r="I85" s="21"/>
      <c r="J85" s="406" t="str">
        <f>IF(VLOOKUP(GAS!N85,'GAS ASCII'!$B$2:$D$200,3)&gt;=500000,VLOOKUP(GAS!N85,'GAS ASCII'!$B$2:$D$200,3)/-1000000,IF(VLOOKUP(GAS!N85,'GAS ASCII'!$B$2:$D$200,3)&lt;=0,"……………….","*"))</f>
        <v>……………….</v>
      </c>
      <c r="K85" s="27"/>
      <c r="L85" s="406">
        <f>IF(VLOOKUP(GAS!N85,'GAS ASCII'!$B$2:$E$200,4)&gt;=500000,VLOOKUP(GAS!N85,'GAS ASCII'!$B$2:$E$200,4)/1000000,IF(VLOOKUP(GAS!N85,'GAS ASCII'!$B$2:$E$200,4)&lt;=0,"……………….","*"))</f>
        <v>1891.689</v>
      </c>
      <c r="M85" s="21"/>
      <c r="N85" t="s">
        <v>182</v>
      </c>
      <c r="O85" s="283"/>
    </row>
    <row r="86" spans="3:15" ht="15.75" customHeight="1">
      <c r="C86" s="9"/>
      <c r="H86" s="406"/>
      <c r="I86" s="21"/>
      <c r="J86" s="406"/>
      <c r="K86" s="27"/>
      <c r="L86" s="406"/>
      <c r="M86" s="21"/>
      <c r="O86" s="283"/>
    </row>
    <row r="87" spans="3:15" ht="15.75" customHeight="1">
      <c r="C87" s="9" t="s">
        <v>53</v>
      </c>
      <c r="H87" s="406">
        <f>IF(VLOOKUP(GAS!N87,'GAS ASCII'!$B$2:$C$200,2)&gt;=500000,VLOOKUP(GAS!N87,'GAS ASCII'!$B$2:$C$200,2)/1000000,IF(VLOOKUP(GAS!N87,'GAS ASCII'!$B$2:$C$200,2)&lt;=0,"……………….","*"))</f>
        <v>8.734</v>
      </c>
      <c r="I87" s="21"/>
      <c r="J87" s="406">
        <f>IF(VLOOKUP(GAS!N87,'GAS ASCII'!$B$2:$D$200,3)&gt;=500000,VLOOKUP(GAS!N87,'GAS ASCII'!$B$2:$D$200,3)/-1000000,IF(VLOOKUP(GAS!N87,'GAS ASCII'!$B$2:$D$200,3)&lt;=0,"……………….","*"))</f>
        <v>-1.2</v>
      </c>
      <c r="K87" s="21"/>
      <c r="L87" s="406">
        <f>IF(VLOOKUP(GAS!N87,'GAS ASCII'!$B$2:$E$200,4)&gt;=500000,VLOOKUP(GAS!N87,'GAS ASCII'!$B$2:$E$200,4)/1000000,IF(VLOOKUP(GAS!N87,'GAS ASCII'!$B$2:$E$200,4)&lt;=0,"……………….","*"))</f>
        <v>7.534</v>
      </c>
      <c r="M87" s="21"/>
      <c r="N87" t="s">
        <v>184</v>
      </c>
      <c r="O87" s="283"/>
    </row>
    <row r="88" spans="3:15" ht="15.75" customHeight="1">
      <c r="C88" s="9" t="s">
        <v>178</v>
      </c>
      <c r="H88" s="406">
        <f>IF(VLOOKUP(GAS!N88,'GAS ASCII'!$B$2:$C$200,2)&gt;=500000,VLOOKUP(GAS!N88,'GAS ASCII'!$B$2:$C$200,2)/1000000,IF(VLOOKUP(GAS!N88,'GAS ASCII'!$B$2:$C$200,2)&lt;=0,"……………….","*"))</f>
        <v>11745.542</v>
      </c>
      <c r="I88" s="21"/>
      <c r="J88" s="406">
        <f>IF(VLOOKUP(GAS!N88,'GAS ASCII'!$B$2:$D$200,3)&gt;=500000,VLOOKUP(GAS!N88,'GAS ASCII'!$B$2:$D$200,3)/-1000000,IF(VLOOKUP(GAS!N88,'GAS ASCII'!$B$2:$D$200,3)&lt;=0,"……………….","*"))</f>
        <v>-1831.962</v>
      </c>
      <c r="K88" s="21"/>
      <c r="L88" s="406">
        <f>IF(VLOOKUP(GAS!N88,'GAS ASCII'!$B$2:$E$200,4)&gt;=500000,VLOOKUP(GAS!N88,'GAS ASCII'!$B$2:$E$200,4)/1000000,IF(VLOOKUP(GAS!N88,'GAS ASCII'!$B$2:$E$200,4)&lt;=0,"……………….","*"))</f>
        <v>9913.58</v>
      </c>
      <c r="M88" s="21"/>
      <c r="N88" t="s">
        <v>186</v>
      </c>
      <c r="O88" s="283"/>
    </row>
    <row r="89" spans="3:15" ht="15.75" customHeight="1">
      <c r="C89" s="9" t="s">
        <v>65</v>
      </c>
      <c r="H89" s="406">
        <f>IF(VLOOKUP(GAS!N89,'GAS ASCII'!$B$2:$C$200,2)&gt;=500000,VLOOKUP(GAS!N89,'GAS ASCII'!$B$2:$C$200,2)/1000000,IF(VLOOKUP(GAS!N89,'GAS ASCII'!$B$2:$C$200,2)&lt;=0,"……………….","*"))</f>
        <v>27444.25</v>
      </c>
      <c r="I89" s="21"/>
      <c r="J89" s="406" t="str">
        <f>IF(VLOOKUP(GAS!N89,'GAS ASCII'!$B$2:$D$200,3)&gt;=500000,VLOOKUP(GAS!N89,'GAS ASCII'!$B$2:$D$200,3)/-1000000,IF(VLOOKUP(GAS!N89,'GAS ASCII'!$B$2:$D$200,3)&lt;=0,"……………….","*"))</f>
        <v>……………….</v>
      </c>
      <c r="K89" s="27"/>
      <c r="L89" s="406">
        <f>IF(VLOOKUP(GAS!N89,'GAS ASCII'!$B$2:$E$200,4)&gt;=500000,VLOOKUP(GAS!N89,'GAS ASCII'!$B$2:$E$200,4)/1000000,IF(VLOOKUP(GAS!N89,'GAS ASCII'!$B$2:$E$200,4)&lt;=0,"……………….","*"))</f>
        <v>27444.25</v>
      </c>
      <c r="M89" s="21"/>
      <c r="N89" t="s">
        <v>188</v>
      </c>
      <c r="O89" s="283"/>
    </row>
    <row r="90" spans="3:15" ht="15.75" customHeight="1">
      <c r="C90" s="9" t="s">
        <v>678</v>
      </c>
      <c r="H90" s="406">
        <f>IF(VLOOKUP(GAS!N90,'GAS ASCII'!$B$2:$C$200,2)&gt;=500000,VLOOKUP(GAS!N90,'GAS ASCII'!$B$2:$C$200,2)/1000000,IF(VLOOKUP(GAS!N90,'GAS ASCII'!$B$2:$C$200,2)&lt;=0,"……………….","*"))</f>
        <v>0.557</v>
      </c>
      <c r="I90" s="21"/>
      <c r="J90" s="406" t="str">
        <f>IF(VLOOKUP(GAS!N90,'GAS ASCII'!$B$2:$D$200,3)&gt;=500000,VLOOKUP(GAS!N90,'GAS ASCII'!$B$2:$D$200,3)/-1000000,IF(VLOOKUP(GAS!N90,'GAS ASCII'!$B$2:$D$200,3)&lt;=0,"……………….","*"))</f>
        <v>……………….</v>
      </c>
      <c r="K90" s="27"/>
      <c r="L90" s="406">
        <f>IF(VLOOKUP(GAS!N90,'GAS ASCII'!$B$2:$E$200,4)&gt;=500000,VLOOKUP(GAS!N90,'GAS ASCII'!$B$2:$E$200,4)/1000000,IF(VLOOKUP(GAS!N90,'GAS ASCII'!$B$2:$E$200,4)&lt;=0,"……………….","*"))</f>
        <v>0.557</v>
      </c>
      <c r="M90" s="21"/>
      <c r="N90" t="s">
        <v>190</v>
      </c>
      <c r="O90" s="283"/>
    </row>
    <row r="91" spans="3:15" ht="15.75" customHeight="1">
      <c r="C91" s="9" t="s">
        <v>602</v>
      </c>
      <c r="H91" s="406">
        <f>IF(VLOOKUP(GAS!N91,'GAS ASCII'!$B$2:$C$200,2)&gt;=500000,VLOOKUP(GAS!N91,'GAS ASCII'!$B$2:$C$200,2)/1000000,IF(VLOOKUP(GAS!N91,'GAS ASCII'!$B$2:$C$200,2)&lt;=0,"……………….","*"))</f>
        <v>59.641</v>
      </c>
      <c r="I91" s="21"/>
      <c r="J91" s="406" t="str">
        <f>IF(VLOOKUP(GAS!N91,'GAS ASCII'!$B$2:$D$200,3)&gt;=500000,VLOOKUP(GAS!N91,'GAS ASCII'!$B$2:$D$200,3)/-1000000,IF(VLOOKUP(GAS!N91,'GAS ASCII'!$B$2:$D$200,3)&lt;=0,"……………….","*"))</f>
        <v>……………….</v>
      </c>
      <c r="K91" s="27"/>
      <c r="L91" s="406">
        <f>IF(VLOOKUP(GAS!N91,'GAS ASCII'!$B$2:$E$200,4)&gt;=500000,VLOOKUP(GAS!N91,'GAS ASCII'!$B$2:$E$200,4)/1000000,IF(VLOOKUP(GAS!N91,'GAS ASCII'!$B$2:$E$200,4)&lt;=0,"……………….","*"))</f>
        <v>59.641</v>
      </c>
      <c r="M91" s="21"/>
      <c r="N91" t="s">
        <v>620</v>
      </c>
      <c r="O91" s="283"/>
    </row>
    <row r="92" spans="3:15" ht="15.75" customHeight="1">
      <c r="C92" s="9" t="s">
        <v>179</v>
      </c>
      <c r="H92" s="406">
        <f>IF(VLOOKUP(GAS!N92,'GAS ASCII'!$B$2:$C$200,2)&gt;=500000,VLOOKUP(GAS!N92,'GAS ASCII'!$B$2:$C$200,2)/1000000,IF(VLOOKUP(GAS!N92,'GAS ASCII'!$B$2:$C$200,2)&lt;=0,"……………….","*"))</f>
        <v>954.204</v>
      </c>
      <c r="I92" s="21"/>
      <c r="J92" s="406" t="str">
        <f>IF(VLOOKUP(GAS!N92,'GAS ASCII'!$B$2:$D$200,3)&gt;=500000,VLOOKUP(GAS!N92,'GAS ASCII'!$B$2:$D$200,3)/-1000000,IF(VLOOKUP(GAS!N92,'GAS ASCII'!$B$2:$D$200,3)&lt;=0,"……………….","*"))</f>
        <v>……………….</v>
      </c>
      <c r="K92" s="27"/>
      <c r="L92" s="406">
        <f>IF(VLOOKUP(GAS!N92,'GAS ASCII'!$B$2:$E$200,4)&gt;=500000,VLOOKUP(GAS!N92,'GAS ASCII'!$B$2:$E$200,4)/1000000,IF(VLOOKUP(GAS!N92,'GAS ASCII'!$B$2:$E$200,4)&lt;=0,"……………….","*"))</f>
        <v>954.204</v>
      </c>
      <c r="M92" s="21"/>
      <c r="N92" t="s">
        <v>622</v>
      </c>
      <c r="O92" s="283"/>
    </row>
    <row r="93" spans="3:15" ht="15.75" customHeight="1">
      <c r="C93" s="9" t="s">
        <v>66</v>
      </c>
      <c r="H93" s="406" t="str">
        <f>IF(VLOOKUP(GAS!N93,'GAS ASCII'!$B$2:$C$200,2)&gt;=500000,VLOOKUP(GAS!N93,'GAS ASCII'!$B$2:$C$200,2)/1000000,IF(VLOOKUP(GAS!N93,'GAS ASCII'!$B$2:$C$200,2)&lt;=0,"……………….","*"))</f>
        <v>*</v>
      </c>
      <c r="I93" s="21"/>
      <c r="J93" s="406" t="str">
        <f>IF(VLOOKUP(GAS!N93,'GAS ASCII'!$B$2:$D$200,3)&gt;=500000,VLOOKUP(GAS!N93,'GAS ASCII'!$B$2:$D$200,3)/-1000000,IF(VLOOKUP(GAS!N93,'GAS ASCII'!$B$2:$D$200,3)&lt;=0,"……………….","*"))</f>
        <v>……………….</v>
      </c>
      <c r="K93" s="27"/>
      <c r="L93" s="406" t="str">
        <f>IF(VLOOKUP(GAS!N93,'GAS ASCII'!$B$2:$E$200,4)&gt;=500000,VLOOKUP(GAS!N93,'GAS ASCII'!$B$2:$E$200,4)/1000000,IF(VLOOKUP(GAS!N93,'GAS ASCII'!$B$2:$E$200,4)&lt;=0,"……………….","*"))</f>
        <v>*</v>
      </c>
      <c r="M93" s="21"/>
      <c r="N93" t="s">
        <v>624</v>
      </c>
      <c r="O93" s="283"/>
    </row>
    <row r="94" spans="3:15" ht="15.75" customHeight="1">
      <c r="C94" s="9" t="s">
        <v>1178</v>
      </c>
      <c r="H94" s="406">
        <f>IF(VLOOKUP(GAS!N94,'GAS ASCII'!$B$2:$C$200,2)&gt;=500000,VLOOKUP(GAS!N94,'GAS ASCII'!$B$2:$C$200,2)/1000000,IF(VLOOKUP(GAS!N94,'GAS ASCII'!$B$2:$C$200,2)&lt;=0,"……………….","*"))</f>
        <v>10398.91780341</v>
      </c>
      <c r="I94" s="21"/>
      <c r="J94" s="406" t="str">
        <f>IF(VLOOKUP(GAS!N94,'GAS ASCII'!$B$2:$D$200,3)&gt;=500000,VLOOKUP(GAS!N94,'GAS ASCII'!$B$2:$D$200,3)/-1000000,IF(VLOOKUP(GAS!N94,'GAS ASCII'!$B$2:$D$200,3)&lt;=0,"……………….","*"))</f>
        <v>……………….</v>
      </c>
      <c r="K94" s="27"/>
      <c r="L94" s="406">
        <f>IF(VLOOKUP(GAS!N94,'GAS ASCII'!$B$2:$E$200,4)&gt;=500000,VLOOKUP(GAS!N94,'GAS ASCII'!$B$2:$E$200,4)/1000000,IF(VLOOKUP(GAS!N94,'GAS ASCII'!$B$2:$E$200,4)&lt;=0,"……………….","*"))</f>
        <v>10398.91780341</v>
      </c>
      <c r="M94" s="21"/>
      <c r="N94" t="s">
        <v>626</v>
      </c>
      <c r="O94" s="283"/>
    </row>
    <row r="95" spans="3:15" ht="15.75" customHeight="1">
      <c r="C95" s="9"/>
      <c r="H95" s="430"/>
      <c r="I95" s="21"/>
      <c r="J95" s="430"/>
      <c r="K95" s="27"/>
      <c r="L95" s="430"/>
      <c r="M95" s="21"/>
      <c r="O95" s="283"/>
    </row>
    <row r="96" spans="1:15" ht="15.75" customHeight="1" thickBot="1">
      <c r="A96" s="407"/>
      <c r="B96" s="407"/>
      <c r="C96" s="408"/>
      <c r="D96" s="409"/>
      <c r="E96" s="410"/>
      <c r="F96" s="410"/>
      <c r="G96" s="410"/>
      <c r="H96" s="410"/>
      <c r="I96" s="411"/>
      <c r="J96" s="410"/>
      <c r="K96" s="410"/>
      <c r="L96" s="410"/>
      <c r="M96" s="412"/>
      <c r="O96" s="283"/>
    </row>
    <row r="97" spans="1:13" ht="16.5" customHeight="1" thickTop="1">
      <c r="A97" s="98">
        <v>8</v>
      </c>
      <c r="B97" s="2" t="str">
        <f>(Marketable!B95)</f>
        <v>TABLE III - DETAIL OF TREASURY SECURITIES OUTSTANDING, MARCH 31, 2004 -- Continued</v>
      </c>
      <c r="C97" s="2"/>
      <c r="D97" s="2"/>
      <c r="E97" s="3"/>
      <c r="F97" s="3"/>
      <c r="G97" s="3"/>
      <c r="H97" s="3"/>
      <c r="I97" s="29"/>
      <c r="J97" s="3"/>
      <c r="K97" s="3"/>
      <c r="L97" s="3"/>
      <c r="M97" s="2"/>
    </row>
    <row r="98" spans="1:13" ht="10.5" customHeight="1" thickBot="1">
      <c r="A98" s="59"/>
      <c r="B98" s="59"/>
      <c r="C98" s="7"/>
      <c r="D98" s="2"/>
      <c r="E98" s="3"/>
      <c r="F98" s="3"/>
      <c r="G98" s="3"/>
      <c r="H98" s="3"/>
      <c r="I98" s="29"/>
      <c r="J98" s="3"/>
      <c r="K98" s="3"/>
      <c r="L98" s="3"/>
      <c r="M98" s="2"/>
    </row>
    <row r="99" spans="1:13" ht="15.75" customHeight="1" thickTop="1">
      <c r="A99" s="32"/>
      <c r="B99" s="32"/>
      <c r="C99" s="32"/>
      <c r="D99" s="32"/>
      <c r="E99" s="32"/>
      <c r="F99" s="32"/>
      <c r="G99" s="32"/>
      <c r="H99" s="26"/>
      <c r="I99" s="32"/>
      <c r="J99" s="32"/>
      <c r="K99" s="32"/>
      <c r="L99" s="32"/>
      <c r="M99" s="32"/>
    </row>
    <row r="100" spans="8:13" ht="15.75" customHeight="1">
      <c r="H100" s="16" t="s">
        <v>337</v>
      </c>
      <c r="I100" s="3"/>
      <c r="J100" s="3"/>
      <c r="K100" s="3"/>
      <c r="L100" s="3"/>
      <c r="M100" s="3"/>
    </row>
    <row r="101" spans="1:13" ht="15.75" customHeight="1">
      <c r="A101" s="3" t="s">
        <v>338</v>
      </c>
      <c r="B101" s="3"/>
      <c r="C101" s="3"/>
      <c r="D101" s="3"/>
      <c r="E101" s="3"/>
      <c r="F101" s="3"/>
      <c r="G101" s="3"/>
      <c r="H101" s="16" t="s">
        <v>1004</v>
      </c>
      <c r="I101" s="3"/>
      <c r="J101" s="3"/>
      <c r="K101" s="3"/>
      <c r="L101" s="3"/>
      <c r="M101" s="3"/>
    </row>
    <row r="102" spans="1:13" ht="16.5" customHeight="1">
      <c r="A102" s="15"/>
      <c r="B102" s="15"/>
      <c r="C102" s="15"/>
      <c r="D102" s="15"/>
      <c r="E102" s="15"/>
      <c r="F102" s="15"/>
      <c r="G102" s="15"/>
      <c r="H102" s="37" t="s">
        <v>342</v>
      </c>
      <c r="I102" s="38"/>
      <c r="J102" s="37" t="s">
        <v>93</v>
      </c>
      <c r="K102" s="38"/>
      <c r="L102" s="37" t="s">
        <v>1007</v>
      </c>
      <c r="M102" s="38"/>
    </row>
    <row r="103" spans="8:12" ht="15.75" customHeight="1">
      <c r="H103" s="14"/>
      <c r="J103" s="14"/>
      <c r="L103" s="14"/>
    </row>
    <row r="104" spans="2:12" ht="18" customHeight="1">
      <c r="B104" s="7" t="s">
        <v>962</v>
      </c>
      <c r="E104" s="43"/>
      <c r="H104" s="14"/>
      <c r="J104" s="14"/>
      <c r="L104" s="14"/>
    </row>
    <row r="105" spans="2:15" ht="18" customHeight="1">
      <c r="B105" s="78" t="s">
        <v>86</v>
      </c>
      <c r="E105" s="43"/>
      <c r="H105" s="14"/>
      <c r="J105" s="14"/>
      <c r="L105" s="14"/>
      <c r="O105" s="283"/>
    </row>
    <row r="106" spans="3:15" ht="15.75" customHeight="1">
      <c r="C106" s="9" t="s">
        <v>679</v>
      </c>
      <c r="H106" s="406">
        <f>IF(VLOOKUP(GAS!N106,'GAS ASCII'!$B$2:$C$200,2)&gt;=500000,VLOOKUP(GAS!N106,'GAS ASCII'!$B$2:$C$200,2)/1000000,IF(VLOOKUP(GAS!N106,'GAS ASCII'!$B$2:$C$200,2)&lt;=0,"……………….","*"))</f>
        <v>151.005</v>
      </c>
      <c r="I106" s="21"/>
      <c r="J106" s="406">
        <f>IF(VLOOKUP(GAS!N106,'GAS ASCII'!$B$2:$D$200,3)&gt;=500000,VLOOKUP(GAS!N106,'GAS ASCII'!$B$2:$D$200,3)/-1000000,IF(VLOOKUP(GAS!N106,'GAS ASCII'!$B$2:$D$200,3)&lt;=0,"……………….","*"))</f>
        <v>-12.669</v>
      </c>
      <c r="K106" s="27"/>
      <c r="L106" s="406">
        <f>IF(VLOOKUP(GAS!N106,'GAS ASCII'!$B$2:$E$200,4)&gt;=500000,VLOOKUP(GAS!N106,'GAS ASCII'!$B$2:$E$200,4)/1000000,IF(VLOOKUP(GAS!N106,'GAS ASCII'!$B$2:$E$200,4)&lt;=0,"……………….","*"))</f>
        <v>138.336</v>
      </c>
      <c r="M106" s="21"/>
      <c r="N106" t="s">
        <v>628</v>
      </c>
      <c r="O106" s="283"/>
    </row>
    <row r="107" spans="3:15" ht="15.75" customHeight="1">
      <c r="C107" t="s">
        <v>117</v>
      </c>
      <c r="H107" s="406"/>
      <c r="I107" s="21"/>
      <c r="J107" s="406"/>
      <c r="K107" s="27"/>
      <c r="L107" s="406"/>
      <c r="M107" s="21"/>
      <c r="O107" s="283"/>
    </row>
    <row r="108" spans="3:15" ht="16.5" customHeight="1">
      <c r="C108" s="9" t="s">
        <v>118</v>
      </c>
      <c r="H108" s="406">
        <f>IF(VLOOKUP(GAS!N108,'GAS ASCII'!$B$2:$C$200,2)&gt;=500000,VLOOKUP(GAS!N108,'GAS ASCII'!$B$2:$C$200,2)/1000000,IF(VLOOKUP(GAS!N108,'GAS ASCII'!$B$2:$C$200,2)&lt;=0,"……………….","*"))</f>
        <v>31.702442</v>
      </c>
      <c r="J108" s="406" t="str">
        <f>IF(VLOOKUP(GAS!N108,'GAS ASCII'!$B$2:$D$200,3)&gt;=500000,VLOOKUP(GAS!N108,'GAS ASCII'!$B$2:$D$200,3)/-1000000,IF(VLOOKUP(GAS!N108,'GAS ASCII'!$B$2:$D$200,3)&lt;=0,"……………….","*"))</f>
        <v>……………….</v>
      </c>
      <c r="K108" s="27"/>
      <c r="L108" s="406">
        <f>IF(VLOOKUP(GAS!N108,'GAS ASCII'!$B$2:$E$200,4)&gt;=500000,VLOOKUP(GAS!N108,'GAS ASCII'!$B$2:$E$200,4)/1000000,IF(VLOOKUP(GAS!N108,'GAS ASCII'!$B$2:$E$200,4)&lt;=0,"……………….","*"))</f>
        <v>31.702442</v>
      </c>
      <c r="M108" s="21"/>
      <c r="N108" t="s">
        <v>630</v>
      </c>
      <c r="O108" s="283"/>
    </row>
    <row r="109" spans="2:15" ht="18" customHeight="1">
      <c r="B109" s="78"/>
      <c r="E109" s="43"/>
      <c r="H109" s="14"/>
      <c r="J109" s="14"/>
      <c r="L109" s="14"/>
      <c r="O109" s="283"/>
    </row>
    <row r="110" spans="3:15" ht="18" customHeight="1">
      <c r="C110" s="9" t="s">
        <v>1179</v>
      </c>
      <c r="H110" s="406"/>
      <c r="I110" s="21"/>
      <c r="J110" s="406"/>
      <c r="K110" s="21"/>
      <c r="L110" s="406"/>
      <c r="M110" s="21"/>
      <c r="O110" s="283"/>
    </row>
    <row r="111" spans="3:15" ht="18" customHeight="1">
      <c r="C111" s="9" t="s">
        <v>1201</v>
      </c>
      <c r="H111" s="406">
        <f>IF(VLOOKUP(GAS!N111,'GAS ASCII'!$B$2:$C$200,2)&gt;=500000,VLOOKUP(GAS!N111,'GAS ASCII'!$B$2:$C$200,2)/1000000,IF(VLOOKUP(GAS!N111,'GAS ASCII'!$B$2:$C$200,2)&lt;=0,"……………….","*"))</f>
        <v>1963.282</v>
      </c>
      <c r="I111" s="21"/>
      <c r="J111" s="406" t="str">
        <f>IF(VLOOKUP(GAS!N111,'GAS ASCII'!$B$2:$D$200,3)&gt;=500000,VLOOKUP(GAS!N111,'GAS ASCII'!$B$2:$D$200,3)/-1000000,IF(VLOOKUP(GAS!N111,'GAS ASCII'!$B$2:$D$200,3)&lt;=0,"……………….","*"))</f>
        <v>……………….</v>
      </c>
      <c r="K111" s="27"/>
      <c r="L111" s="406">
        <f>IF(VLOOKUP(GAS!N111,'GAS ASCII'!$B$2:$E$200,4)&gt;=500000,VLOOKUP(GAS!N111,'GAS ASCII'!$B$2:$E$200,4)/1000000,IF(VLOOKUP(GAS!N111,'GAS ASCII'!$B$2:$E$200,4)&lt;=0,"……………….","*"))</f>
        <v>1963.282</v>
      </c>
      <c r="M111" s="21"/>
      <c r="N111" t="s">
        <v>344</v>
      </c>
      <c r="O111" s="283"/>
    </row>
    <row r="112" spans="3:15" ht="18" customHeight="1">
      <c r="C112" s="9" t="s">
        <v>1180</v>
      </c>
      <c r="H112" s="406">
        <f>IF(VLOOKUP(GAS!N112,'GAS ASCII'!$B$2:$C$200,2)&gt;=500000,VLOOKUP(GAS!N112,'GAS ASCII'!$B$2:$C$200,2)/1000000,IF(VLOOKUP(GAS!N112,'GAS ASCII'!$B$2:$C$200,2)&lt;=0,"……………….","*"))</f>
        <v>444.943</v>
      </c>
      <c r="I112" s="21"/>
      <c r="J112" s="406">
        <f>IF(VLOOKUP(GAS!N112,'GAS ASCII'!$B$2:$D$200,3)&gt;=500000,VLOOKUP(GAS!N112,'GAS ASCII'!$B$2:$D$200,3)/-1000000,IF(VLOOKUP(GAS!N112,'GAS ASCII'!$B$2:$D$200,3)&lt;=0,"……………….","*"))</f>
        <v>-6</v>
      </c>
      <c r="K112" s="27"/>
      <c r="L112" s="406">
        <f>IF(VLOOKUP(GAS!N112,'GAS ASCII'!$B$2:$E$200,4)&gt;=500000,VLOOKUP(GAS!N112,'GAS ASCII'!$B$2:$E$200,4)/1000000,IF(VLOOKUP(GAS!N112,'GAS ASCII'!$B$2:$E$200,4)&lt;=0,"……………….","*"))</f>
        <v>438.943</v>
      </c>
      <c r="M112" s="21"/>
      <c r="N112" t="s">
        <v>346</v>
      </c>
      <c r="O112" s="283"/>
    </row>
    <row r="113" spans="3:15" ht="15.75" customHeight="1">
      <c r="C113" s="9" t="s">
        <v>1181</v>
      </c>
      <c r="H113" s="406">
        <f>IF(VLOOKUP(GAS!N113,'GAS ASCII'!$B$2:$C$200,2)&gt;=500000,VLOOKUP(GAS!N113,'GAS ASCII'!$B$2:$C$200,2)/1000000,IF(VLOOKUP(GAS!N113,'GAS ASCII'!$B$2:$C$200,2)&lt;=0,"……………….","*"))</f>
        <v>210272.014</v>
      </c>
      <c r="I113" s="21"/>
      <c r="J113" s="406">
        <f>IF(VLOOKUP(GAS!N113,'GAS ASCII'!$B$2:$D$200,3)&gt;=500000,VLOOKUP(GAS!N113,'GAS ASCII'!$B$2:$D$200,3)/-1000000,IF(VLOOKUP(GAS!N113,'GAS ASCII'!$B$2:$D$200,3)&lt;=0,"……………….","*"))</f>
        <v>-33582.278</v>
      </c>
      <c r="K113" s="27"/>
      <c r="L113" s="406">
        <f>IF(VLOOKUP(GAS!N113,'GAS ASCII'!$B$2:$E$200,4)&gt;=500000,VLOOKUP(GAS!N113,'GAS ASCII'!$B$2:$E$200,4)/1000000,IF(VLOOKUP(GAS!N113,'GAS ASCII'!$B$2:$E$200,4)&lt;=0,"……………….","*"))</f>
        <v>176689.736</v>
      </c>
      <c r="M113" s="21"/>
      <c r="N113" t="s">
        <v>348</v>
      </c>
      <c r="O113" s="283"/>
    </row>
    <row r="114" spans="3:15" ht="15.75" customHeight="1">
      <c r="C114" s="9" t="s">
        <v>317</v>
      </c>
      <c r="H114" s="406">
        <f>IF(VLOOKUP(GAS!N114,'GAS ASCII'!$B$2:$C$200,2)&gt;=500000,VLOOKUP(GAS!N114,'GAS ASCII'!$B$2:$C$200,2)/1000000,IF(VLOOKUP(GAS!N114,'GAS ASCII'!$B$2:$C$200,2)&lt;=0,"……………….","*"))</f>
        <v>289169.014</v>
      </c>
      <c r="I114" s="21"/>
      <c r="J114" s="406">
        <f>IF(VLOOKUP(GAS!N114,'GAS ASCII'!$B$2:$D$200,3)&gt;=500000,VLOOKUP(GAS!N114,'GAS ASCII'!$B$2:$D$200,3)/-1000000,IF(VLOOKUP(GAS!N114,'GAS ASCII'!$B$2:$D$200,3)&lt;=0,"……………….","*"))</f>
        <v>-33961.461</v>
      </c>
      <c r="K114" s="27"/>
      <c r="L114" s="406">
        <f>IF(VLOOKUP(GAS!N114,'GAS ASCII'!$B$2:$E$200,4)&gt;=500000,VLOOKUP(GAS!N114,'GAS ASCII'!$B$2:$E$200,4)/1000000,IF(VLOOKUP(GAS!N114,'GAS ASCII'!$B$2:$E$200,4)&lt;=0,"……………….","*"))</f>
        <v>255207.553</v>
      </c>
      <c r="M114" s="21"/>
      <c r="N114" t="s">
        <v>350</v>
      </c>
      <c r="O114" s="283"/>
    </row>
    <row r="115" spans="3:15" ht="15.75" customHeight="1">
      <c r="C115" s="9" t="s">
        <v>1141</v>
      </c>
      <c r="H115" s="406"/>
      <c r="I115" s="21"/>
      <c r="J115" s="406"/>
      <c r="K115" s="27"/>
      <c r="L115" s="406"/>
      <c r="M115" s="21"/>
      <c r="O115" s="283"/>
    </row>
    <row r="116" spans="3:15" ht="15.75" customHeight="1">
      <c r="C116" s="9" t="s">
        <v>1169</v>
      </c>
      <c r="H116" s="406">
        <f>IF(VLOOKUP(GAS!N116,'GAS ASCII'!$B$2:$C$200,2)&gt;=500000,VLOOKUP(GAS!N116,'GAS ASCII'!$B$2:$C$200,2)/1000000,IF(VLOOKUP(GAS!N116,'GAS ASCII'!$B$2:$C$200,2)&lt;=0,"……………….","*"))</f>
        <v>6.029</v>
      </c>
      <c r="I116" s="21"/>
      <c r="J116" s="406" t="str">
        <f>IF(VLOOKUP(GAS!N116,'GAS ASCII'!$B$2:$D$200,3)&gt;=500000,VLOOKUP(GAS!N116,'GAS ASCII'!$B$2:$D$200,3)/-1000000,IF(VLOOKUP(GAS!N116,'GAS ASCII'!$B$2:$D$200,3)&lt;=0,"……………….","*"))</f>
        <v>……………….</v>
      </c>
      <c r="K116" s="27"/>
      <c r="L116" s="406">
        <f>IF(VLOOKUP(GAS!N116,'GAS ASCII'!$B$2:$E$200,4)&gt;=500000,VLOOKUP(GAS!N116,'GAS ASCII'!$B$2:$E$200,4)/1000000,IF(VLOOKUP(GAS!N116,'GAS ASCII'!$B$2:$E$200,4)&lt;=0,"……………….","*"))</f>
        <v>6.029</v>
      </c>
      <c r="M116" s="21"/>
      <c r="N116" t="s">
        <v>1130</v>
      </c>
      <c r="O116" s="283"/>
    </row>
    <row r="117" spans="3:15" ht="15.75" customHeight="1">
      <c r="C117" s="9" t="s">
        <v>318</v>
      </c>
      <c r="H117" s="406"/>
      <c r="I117" s="21"/>
      <c r="J117" s="406"/>
      <c r="K117" s="21"/>
      <c r="L117" s="406"/>
      <c r="M117" s="21"/>
      <c r="O117" s="283"/>
    </row>
    <row r="118" spans="3:15" ht="15.75" customHeight="1">
      <c r="C118" s="9" t="s">
        <v>1169</v>
      </c>
      <c r="H118" s="406">
        <f>IF(VLOOKUP(GAS!N118,'GAS ASCII'!$B$2:$C$200,2)&gt;=500000,VLOOKUP(GAS!N118,'GAS ASCII'!$B$2:$C$200,2)/1000000,IF(VLOOKUP(GAS!N118,'GAS ASCII'!$B$2:$C$200,2)&lt;=0,"……………….","*"))</f>
        <v>2.506</v>
      </c>
      <c r="I118" s="21"/>
      <c r="J118" s="406" t="str">
        <f>IF(VLOOKUP(GAS!N118,'GAS ASCII'!$B$2:$D$200,3)&gt;=500000,VLOOKUP(GAS!N118,'GAS ASCII'!$B$2:$D$200,3)/-1000000,IF(VLOOKUP(GAS!N118,'GAS ASCII'!$B$2:$D$200,3)&lt;=0,"……………….","*"))</f>
        <v>……………….</v>
      </c>
      <c r="K118" s="27"/>
      <c r="L118" s="406">
        <f>IF(VLOOKUP(GAS!N118,'GAS ASCII'!$B$2:$E$200,4)&gt;=500000,VLOOKUP(GAS!N118,'GAS ASCII'!$B$2:$E$200,4)/1000000,IF(VLOOKUP(GAS!N118,'GAS ASCII'!$B$2:$E$200,4)&lt;=0,"……………….","*"))</f>
        <v>2.506</v>
      </c>
      <c r="M118" s="21"/>
      <c r="N118" t="s">
        <v>352</v>
      </c>
      <c r="O118" s="283"/>
    </row>
    <row r="119" spans="3:15" ht="15.75" customHeight="1">
      <c r="C119" s="9" t="s">
        <v>1139</v>
      </c>
      <c r="H119" s="406"/>
      <c r="I119" s="21"/>
      <c r="J119" s="406"/>
      <c r="K119" s="27"/>
      <c r="L119" s="406"/>
      <c r="M119" s="21"/>
      <c r="O119" s="283"/>
    </row>
    <row r="120" spans="3:15" ht="15.75" customHeight="1">
      <c r="C120" s="9" t="s">
        <v>1169</v>
      </c>
      <c r="H120" s="406" t="str">
        <f>IF(VLOOKUP(GAS!N120,'GAS ASCII'!$B$2:$C$200,2)&gt;=500000,VLOOKUP(GAS!N120,'GAS ASCII'!$B$2:$C$200,2)/1000000,IF(VLOOKUP(GAS!N120,'GAS ASCII'!$B$2:$C$200,2)&lt;=0,"……………….","*"))</f>
        <v>*</v>
      </c>
      <c r="I120" s="21"/>
      <c r="J120" s="406" t="str">
        <f>IF(VLOOKUP(GAS!N120,'GAS ASCII'!$B$2:$D$200,3)&gt;=500000,VLOOKUP(GAS!N120,'GAS ASCII'!$B$2:$D$200,3)/-1000000,IF(VLOOKUP(GAS!N120,'GAS ASCII'!$B$2:$D$200,3)&lt;=0,"……………….","*"))</f>
        <v>……………….</v>
      </c>
      <c r="K120" s="27"/>
      <c r="L120" s="406" t="str">
        <f>IF(VLOOKUP(GAS!N120,'GAS ASCII'!$B$2:$E$200,4)&gt;=500000,VLOOKUP(GAS!N120,'GAS ASCII'!$B$2:$E$200,4)/1000000,IF(VLOOKUP(GAS!N120,'GAS ASCII'!$B$2:$E$200,4)&lt;=0,"……………….","*"))</f>
        <v>*</v>
      </c>
      <c r="M120" s="21"/>
      <c r="N120" t="s">
        <v>1132</v>
      </c>
      <c r="O120" s="283"/>
    </row>
    <row r="121" spans="3:15" ht="15.75" customHeight="1">
      <c r="C121" s="9" t="s">
        <v>689</v>
      </c>
      <c r="H121" s="406">
        <f>IF(VLOOKUP(GAS!N121,'GAS ASCII'!$B$2:$C$200,2)&gt;=500000,VLOOKUP(GAS!N121,'GAS ASCII'!$B$2:$C$200,2)/1000000,IF(VLOOKUP(GAS!N121,'GAS ASCII'!$B$2:$C$200,2)&lt;=0,"……………….","*"))</f>
        <v>28112.892</v>
      </c>
      <c r="I121" s="21"/>
      <c r="J121" s="406" t="str">
        <f>IF(VLOOKUP(GAS!N121,'GAS ASCII'!$B$2:$D$200,3)&gt;=500000,VLOOKUP(GAS!N121,'GAS ASCII'!$B$2:$D$200,3)/-1000000,IF(VLOOKUP(GAS!N121,'GAS ASCII'!$B$2:$D$200,3)&lt;=0,"……………….","*"))</f>
        <v>……………….</v>
      </c>
      <c r="K121" s="27"/>
      <c r="L121" s="406">
        <f>IF(VLOOKUP(GAS!N121,'GAS ASCII'!$B$2:$E$200,4)&gt;=500000,VLOOKUP(GAS!N121,'GAS ASCII'!$B$2:$E$200,4)/1000000,IF(VLOOKUP(GAS!N121,'GAS ASCII'!$B$2:$E$200,4)&lt;=0,"……………….","*"))</f>
        <v>28112.892</v>
      </c>
      <c r="M121" s="21"/>
      <c r="N121" t="s">
        <v>354</v>
      </c>
      <c r="O121" s="283"/>
    </row>
    <row r="122" spans="3:15" ht="15.75" customHeight="1">
      <c r="C122" s="9" t="s">
        <v>788</v>
      </c>
      <c r="D122" s="9"/>
      <c r="H122" s="406">
        <f>IF(VLOOKUP(GAS!N122,'GAS ASCII'!$B$2:$C$200,2)&gt;=500000,VLOOKUP(GAS!N122,'GAS ASCII'!$B$2:$C$200,2)/1000000,IF(VLOOKUP(GAS!N122,'GAS ASCII'!$B$2:$C$200,2)&lt;=0,"……………….","*"))</f>
        <v>1586749.449</v>
      </c>
      <c r="I122" s="21"/>
      <c r="J122" s="406">
        <f>IF(VLOOKUP(GAS!N122,'GAS ASCII'!$B$2:$D$200,3)&gt;=500000,VLOOKUP(GAS!N122,'GAS ASCII'!$B$2:$D$200,3)/-1000000,IF(VLOOKUP(GAS!N122,'GAS ASCII'!$B$2:$D$200,3)&lt;=0,"……………….","*"))</f>
        <v>-210654.176</v>
      </c>
      <c r="K122" s="27"/>
      <c r="L122" s="406">
        <f>IF(VLOOKUP(GAS!N122,'GAS ASCII'!$B$2:$E$200,4)&gt;=500000,VLOOKUP(GAS!N122,'GAS ASCII'!$B$2:$E$200,4)/1000000,IF(VLOOKUP(GAS!N122,'GAS ASCII'!$B$2:$E$200,4)&lt;=0,"……………….","*"))</f>
        <v>1376095.273</v>
      </c>
      <c r="M122" s="21"/>
      <c r="N122" t="s">
        <v>356</v>
      </c>
      <c r="O122" s="283"/>
    </row>
    <row r="123" spans="3:15" ht="15.75" customHeight="1">
      <c r="C123" s="9" t="s">
        <v>1218</v>
      </c>
      <c r="E123" s="43"/>
      <c r="H123" s="406">
        <f>IF(VLOOKUP(GAS!N123,'GAS ASCII'!$B$2:$C$200,2)&gt;=500000,VLOOKUP(GAS!N123,'GAS ASCII'!$B$2:$C$200,2)/1000000,IF(VLOOKUP(GAS!N123,'GAS ASCII'!$B$2:$C$200,2)&lt;=0,"……………….","*"))</f>
        <v>1689.15</v>
      </c>
      <c r="I123" s="21"/>
      <c r="J123" s="406" t="str">
        <f>IF(VLOOKUP(GAS!N123,'GAS ASCII'!$B$2:$D$200,3)&gt;=500000,VLOOKUP(GAS!N123,'GAS ASCII'!$B$2:$D$200,3)/-1000000,IF(VLOOKUP(GAS!N123,'GAS ASCII'!$B$2:$D$200,3)&lt;=0,"……………….","*"))</f>
        <v>……………….</v>
      </c>
      <c r="K123" s="27"/>
      <c r="L123" s="406">
        <f>IF(VLOOKUP(GAS!N123,'GAS ASCII'!$B$2:$E$200,4)&gt;=500000,VLOOKUP(GAS!N123,'GAS ASCII'!$B$2:$E$200,4)/1000000,IF(VLOOKUP(GAS!N123,'GAS ASCII'!$B$2:$E$200,4)&lt;=0,"……………….","*"))</f>
        <v>1689.15</v>
      </c>
      <c r="M123" s="21"/>
      <c r="N123" t="s">
        <v>358</v>
      </c>
      <c r="O123" s="283"/>
    </row>
    <row r="124" spans="3:15" ht="15.75" customHeight="1">
      <c r="C124" s="9" t="s">
        <v>1034</v>
      </c>
      <c r="H124" s="406">
        <f>IF(VLOOKUP(GAS!N124,'GAS ASCII'!$B$2:$C$200,2)&gt;=500000,VLOOKUP(GAS!N124,'GAS ASCII'!$B$2:$C$200,2)/1000000,IF(VLOOKUP(GAS!N124,'GAS ASCII'!$B$2:$C$200,2)&lt;=0,"……………….","*"))</f>
        <v>59842.441</v>
      </c>
      <c r="I124" s="21"/>
      <c r="J124" s="406">
        <f>IF(VLOOKUP(GAS!N124,'GAS ASCII'!$B$2:$D$200,3)&gt;=500000,VLOOKUP(GAS!N124,'GAS ASCII'!$B$2:$D$200,3)/-1000000,IF(VLOOKUP(GAS!N124,'GAS ASCII'!$B$2:$D$200,3)&lt;=0,"……………….","*"))</f>
        <v>-33411.766</v>
      </c>
      <c r="K124" s="21"/>
      <c r="L124" s="406">
        <f>IF(VLOOKUP(GAS!N124,'GAS ASCII'!$B$2:$E$200,4)&gt;=500000,VLOOKUP(GAS!N124,'GAS ASCII'!$B$2:$E$200,4)/1000000,IF(VLOOKUP(GAS!N124,'GAS ASCII'!$B$2:$E$200,4)&lt;=0,"……………….","*"))</f>
        <v>26430.675</v>
      </c>
      <c r="M124" s="21"/>
      <c r="N124" t="s">
        <v>360</v>
      </c>
      <c r="O124" s="283"/>
    </row>
    <row r="125" spans="3:15" ht="15.75" customHeight="1">
      <c r="C125" s="9" t="s">
        <v>1036</v>
      </c>
      <c r="H125" s="406">
        <f>IF(VLOOKUP(GAS!N125,'GAS ASCII'!$B$2:$C$200,2)&gt;=500000,VLOOKUP(GAS!N125,'GAS ASCII'!$B$2:$C$200,2)/1000000,IF(VLOOKUP(GAS!N125,'GAS ASCII'!$B$2:$C$200,2)&lt;=0,"……………….","*"))</f>
        <v>12762.304</v>
      </c>
      <c r="I125" s="21"/>
      <c r="J125" s="406">
        <f>IF(VLOOKUP(GAS!N125,'GAS ASCII'!$B$2:$D$200,3)&gt;=500000,VLOOKUP(GAS!N125,'GAS ASCII'!$B$2:$D$200,3)/-1000000,IF(VLOOKUP(GAS!N125,'GAS ASCII'!$B$2:$D$200,3)&lt;=0,"……………….","*"))</f>
        <v>-187.553</v>
      </c>
      <c r="K125" s="184"/>
      <c r="L125" s="406">
        <f>IF(VLOOKUP(GAS!N125,'GAS ASCII'!$B$2:$E$200,4)&gt;=500000,VLOOKUP(GAS!N125,'GAS ASCII'!$B$2:$E$200,4)/1000000,IF(VLOOKUP(GAS!N125,'GAS ASCII'!$B$2:$E$200,4)&lt;=0,"……………….","*"))</f>
        <v>12574.751</v>
      </c>
      <c r="M125" s="21"/>
      <c r="N125" t="s">
        <v>362</v>
      </c>
      <c r="O125" s="283"/>
    </row>
    <row r="126" spans="3:15" ht="15.75" customHeight="1">
      <c r="C126" s="9" t="s">
        <v>891</v>
      </c>
      <c r="H126" s="406">
        <f>IF(VLOOKUP(GAS!N126,'GAS ASCII'!$B$2:$C$200,2)&gt;=500000,VLOOKUP(GAS!N126,'GAS ASCII'!$B$2:$C$200,2)/1000000,IF(VLOOKUP(GAS!N126,'GAS ASCII'!$B$2:$C$200,2)&lt;=0,"……………….","*"))</f>
        <v>2950.141</v>
      </c>
      <c r="I126" s="21"/>
      <c r="J126" s="406" t="str">
        <f>IF(VLOOKUP(GAS!N126,'GAS ASCII'!$B$2:$D$200,3)&gt;=500000,VLOOKUP(GAS!N126,'GAS ASCII'!$B$2:$D$200,3)/-1000000,IF(VLOOKUP(GAS!N126,'GAS ASCII'!$B$2:$D$200,3)&lt;=0,"……………….","*"))</f>
        <v>……………….</v>
      </c>
      <c r="K126" s="27"/>
      <c r="L126" s="406">
        <f>IF(VLOOKUP(GAS!N126,'GAS ASCII'!$B$2:$E$200,4)&gt;=500000,VLOOKUP(GAS!N126,'GAS ASCII'!$B$2:$E$200,4)/1000000,IF(VLOOKUP(GAS!N126,'GAS ASCII'!$B$2:$E$200,4)&lt;=0,"……………….","*"))</f>
        <v>2950.141</v>
      </c>
      <c r="M126" s="21"/>
      <c r="N126" t="s">
        <v>364</v>
      </c>
      <c r="O126" s="283"/>
    </row>
    <row r="127" spans="3:15" ht="15.75" customHeight="1">
      <c r="C127" s="9"/>
      <c r="H127" s="406"/>
      <c r="I127" s="21"/>
      <c r="J127" s="406"/>
      <c r="K127" s="27"/>
      <c r="L127" s="406"/>
      <c r="M127" s="21"/>
      <c r="O127" s="283"/>
    </row>
    <row r="128" spans="3:15" ht="15.75" customHeight="1">
      <c r="C128" s="9" t="s">
        <v>1039</v>
      </c>
      <c r="H128" s="406">
        <f>IF(VLOOKUP(GAS!N128,'GAS ASCII'!$B$2:$C$200,2)&gt;=500000,VLOOKUP(GAS!N128,'GAS ASCII'!$B$2:$C$200,2)/1000000,IF(VLOOKUP(GAS!N128,'GAS ASCII'!$B$2:$C$200,2)&lt;=0,"……………….","*"))</f>
        <v>63.365</v>
      </c>
      <c r="I128" s="21"/>
      <c r="J128" s="406" t="str">
        <f>IF(VLOOKUP(GAS!N128,'GAS ASCII'!$B$2:$D$200,3)&gt;=500000,VLOOKUP(GAS!N128,'GAS ASCII'!$B$2:$D$200,3)/-1000000,IF(VLOOKUP(GAS!N128,'GAS ASCII'!$B$2:$D$200,3)&lt;=0,"……………….","*"))</f>
        <v>……………….</v>
      </c>
      <c r="K128" s="27"/>
      <c r="L128" s="406">
        <f>IF(VLOOKUP(GAS!N128,'GAS ASCII'!$B$2:$E$200,4)&gt;=500000,VLOOKUP(GAS!N128,'GAS ASCII'!$B$2:$E$200,4)/1000000,IF(VLOOKUP(GAS!N128,'GAS ASCII'!$B$2:$E$200,4)&lt;=0,"……………….","*"))</f>
        <v>63.365</v>
      </c>
      <c r="M128" s="21"/>
      <c r="N128" t="s">
        <v>366</v>
      </c>
      <c r="O128" s="283"/>
    </row>
    <row r="129" spans="3:15" ht="15.75" customHeight="1">
      <c r="C129" s="9" t="s">
        <v>1032</v>
      </c>
      <c r="H129" s="406">
        <f>IF(VLOOKUP(GAS!N129,'GAS ASCII'!$B$2:$C$200,2)&gt;=500000,VLOOKUP(GAS!N129,'GAS ASCII'!$B$2:$C$200,2)/1000000,IF(VLOOKUP(GAS!N129,'GAS ASCII'!$B$2:$C$200,2)&lt;=0,"……………….","*"))</f>
        <v>4.602</v>
      </c>
      <c r="I129" s="21"/>
      <c r="J129" s="406" t="str">
        <f>IF(VLOOKUP(GAS!N129,'GAS ASCII'!$B$2:$D$200,3)&gt;=500000,VLOOKUP(GAS!N129,'GAS ASCII'!$B$2:$D$200,3)/-1000000,IF(VLOOKUP(GAS!N129,'GAS ASCII'!$B$2:$D$200,3)&lt;=0,"……………….","*"))</f>
        <v>……………….</v>
      </c>
      <c r="K129" s="27"/>
      <c r="L129" s="406">
        <f>IF(VLOOKUP(GAS!N129,'GAS ASCII'!$B$2:$E$200,4)&gt;=500000,VLOOKUP(GAS!N129,'GAS ASCII'!$B$2:$E$200,4)/1000000,IF(VLOOKUP(GAS!N129,'GAS ASCII'!$B$2:$E$200,4)&lt;=0,"……………….","*"))</f>
        <v>4.602</v>
      </c>
      <c r="M129" s="21"/>
      <c r="N129" t="s">
        <v>368</v>
      </c>
      <c r="O129" s="283"/>
    </row>
    <row r="130" spans="3:15" ht="15" customHeight="1">
      <c r="C130" s="9" t="s">
        <v>63</v>
      </c>
      <c r="H130" s="406" t="str">
        <f>IF(VLOOKUP(GAS!N130,'GAS ASCII'!$B$2:$C$200,2)&gt;=500000,VLOOKUP(GAS!N130,'GAS ASCII'!$B$2:$C$200,2)/1000000,IF(VLOOKUP(GAS!N130,'GAS ASCII'!$B$2:$C$200,2)&lt;=0,"……………….","*"))</f>
        <v>*</v>
      </c>
      <c r="I130" s="21"/>
      <c r="J130" s="406" t="str">
        <f>IF(VLOOKUP(GAS!N130,'GAS ASCII'!$B$2:$D$200,3)&gt;=500000,VLOOKUP(GAS!N130,'GAS ASCII'!$B$2:$D$200,3)/-1000000,IF(VLOOKUP(GAS!N130,'GAS ASCII'!$B$2:$D$200,3)&lt;=0,"……………….","*"))</f>
        <v>……………….</v>
      </c>
      <c r="K130" s="27"/>
      <c r="L130" s="406" t="str">
        <f>IF(VLOOKUP(GAS!N130,'GAS ASCII'!$B$2:$E$200,4)&gt;=500000,VLOOKUP(GAS!N130,'GAS ASCII'!$B$2:$E$200,4)/1000000,IF(VLOOKUP(GAS!N130,'GAS ASCII'!$B$2:$E$200,4)&lt;=0,"……………….","*"))</f>
        <v>*</v>
      </c>
      <c r="M130" s="21"/>
      <c r="N130" t="s">
        <v>370</v>
      </c>
      <c r="O130" s="283"/>
    </row>
    <row r="131" spans="3:15" ht="15.75" customHeight="1">
      <c r="C131" s="9" t="s">
        <v>662</v>
      </c>
      <c r="H131" s="406">
        <f>IF(VLOOKUP(GAS!N131,'GAS ASCII'!$B$2:$C$200,2)&gt;=500000,VLOOKUP(GAS!N131,'GAS ASCII'!$B$2:$C$200,2)/1000000,IF(VLOOKUP(GAS!N131,'GAS ASCII'!$B$2:$C$200,2)&lt;=0,"……………….","*"))</f>
        <v>0.80924508</v>
      </c>
      <c r="I131" s="21"/>
      <c r="J131" s="406" t="str">
        <f>IF(VLOOKUP(GAS!N131,'GAS ASCII'!$B$2:$D$200,3)&gt;=500000,VLOOKUP(GAS!N131,'GAS ASCII'!$B$2:$D$200,3)/-1000000,IF(VLOOKUP(GAS!N131,'GAS ASCII'!$B$2:$D$200,3)&lt;=0,"……………….","*"))</f>
        <v>……………….</v>
      </c>
      <c r="K131" s="3"/>
      <c r="L131" s="406">
        <f>IF(VLOOKUP(GAS!N131,'GAS ASCII'!$B$2:$E$200,4)&gt;=500000,VLOOKUP(GAS!N131,'GAS ASCII'!$B$2:$E$200,4)/1000000,IF(VLOOKUP(GAS!N131,'GAS ASCII'!$B$2:$E$200,4)&lt;=0,"……………….","*"))</f>
        <v>0.80924508</v>
      </c>
      <c r="M131" s="21"/>
      <c r="N131" t="s">
        <v>372</v>
      </c>
      <c r="O131" s="283"/>
    </row>
    <row r="132" spans="3:15" ht="15.75" customHeight="1">
      <c r="C132" s="9" t="s">
        <v>790</v>
      </c>
      <c r="H132" s="406" t="str">
        <f>IF(VLOOKUP(GAS!N132,'GAS ASCII'!$B$2:$C$200,2)&gt;=500000,VLOOKUP(GAS!N132,'GAS ASCII'!$B$2:$C$200,2)/1000000,IF(VLOOKUP(GAS!N132,'GAS ASCII'!$B$2:$C$200,2)&lt;=0,"……………….","*"))</f>
        <v>*</v>
      </c>
      <c r="I132" s="21"/>
      <c r="J132" s="406" t="str">
        <f>IF(VLOOKUP(GAS!N132,'GAS ASCII'!$B$2:$D$200,3)&gt;=500000,VLOOKUP(GAS!N132,'GAS ASCII'!$B$2:$D$200,3)/-1000000,IF(VLOOKUP(GAS!N132,'GAS ASCII'!$B$2:$D$200,3)&lt;=0,"……………….","*"))</f>
        <v>……………….</v>
      </c>
      <c r="K132" s="27"/>
      <c r="L132" s="406" t="str">
        <f>IF(VLOOKUP(GAS!N132,'GAS ASCII'!$B$2:$E$200,4)&gt;=500000,VLOOKUP(GAS!N132,'GAS ASCII'!$B$2:$E$200,4)/1000000,IF(VLOOKUP(GAS!N132,'GAS ASCII'!$B$2:$E$200,4)&lt;=0,"……………….","*"))</f>
        <v>*</v>
      </c>
      <c r="M132" s="21"/>
      <c r="N132" t="s">
        <v>635</v>
      </c>
      <c r="O132" s="283"/>
    </row>
    <row r="133" spans="3:15" ht="15.75" customHeight="1">
      <c r="C133" s="9" t="s">
        <v>1040</v>
      </c>
      <c r="H133" s="406" t="str">
        <f>IF(VLOOKUP(GAS!N133,'GAS ASCII'!$B$2:$C$200,2)&gt;=500000,VLOOKUP(GAS!N133,'GAS ASCII'!$B$2:$C$200,2)/1000000,IF(VLOOKUP(GAS!N133,'GAS ASCII'!$B$2:$C$200,2)&lt;=0,"……………….","*"))</f>
        <v>*</v>
      </c>
      <c r="I133" s="21"/>
      <c r="J133" s="406" t="str">
        <f>IF(VLOOKUP(GAS!N133,'GAS ASCII'!$B$2:$D$200,3)&gt;=500000,VLOOKUP(GAS!N133,'GAS ASCII'!$B$2:$D$200,3)/-1000000,IF(VLOOKUP(GAS!N133,'GAS ASCII'!$B$2:$D$200,3)&lt;=0,"……………….","*"))</f>
        <v>……………….</v>
      </c>
      <c r="K133" s="3"/>
      <c r="L133" s="406" t="str">
        <f>IF(VLOOKUP(GAS!N133,'GAS ASCII'!$B$2:$E$200,4)&gt;=500000,VLOOKUP(GAS!N133,'GAS ASCII'!$B$2:$E$200,4)/1000000,IF(VLOOKUP(GAS!N133,'GAS ASCII'!$B$2:$E$200,4)&lt;=0,"……………….","*"))</f>
        <v>*</v>
      </c>
      <c r="M133" s="21"/>
      <c r="N133" t="s">
        <v>637</v>
      </c>
      <c r="O133" s="283"/>
    </row>
    <row r="134" spans="3:15" ht="14.25" customHeight="1">
      <c r="C134" s="9" t="s">
        <v>750</v>
      </c>
      <c r="H134" s="406"/>
      <c r="I134" s="21"/>
      <c r="J134" s="406"/>
      <c r="K134" s="21"/>
      <c r="L134" s="406"/>
      <c r="M134" s="21"/>
      <c r="O134" s="283"/>
    </row>
    <row r="135" spans="3:15" ht="15.75" customHeight="1">
      <c r="C135" s="9" t="s">
        <v>892</v>
      </c>
      <c r="H135" s="406">
        <f>IF(VLOOKUP(GAS!N135,'GAS ASCII'!$B$2:$C$200,2)&gt;=500000,VLOOKUP(GAS!N135,'GAS ASCII'!$B$2:$C$200,2)/1000000,IF(VLOOKUP(GAS!N135,'GAS ASCII'!$B$2:$C$200,2)&lt;=0,"……………….","*"))</f>
        <v>7363.771</v>
      </c>
      <c r="I135" s="21"/>
      <c r="J135" s="406" t="str">
        <f>IF(VLOOKUP(GAS!N135,'GAS ASCII'!$B$2:$D$200,3)&gt;=500000,VLOOKUP(GAS!N135,'GAS ASCII'!$B$2:$D$200,3)/-1000000,IF(VLOOKUP(GAS!N135,'GAS ASCII'!$B$2:$D$200,3)&lt;=0,"……………….","*"))</f>
        <v>……………….</v>
      </c>
      <c r="K135" s="27"/>
      <c r="L135" s="406">
        <f>IF(VLOOKUP(GAS!N135,'GAS ASCII'!$B$2:$E$200,4)&gt;=500000,VLOOKUP(GAS!N135,'GAS ASCII'!$B$2:$E$200,4)/1000000,IF(VLOOKUP(GAS!N135,'GAS ASCII'!$B$2:$E$200,4)&lt;=0,"……………….","*"))</f>
        <v>7363.771</v>
      </c>
      <c r="M135" s="21"/>
      <c r="N135" t="s">
        <v>639</v>
      </c>
      <c r="O135" s="283"/>
    </row>
    <row r="136" spans="2:15" ht="18" customHeight="1">
      <c r="B136" s="7"/>
      <c r="E136" s="43"/>
      <c r="H136" s="406"/>
      <c r="J136" s="406"/>
      <c r="L136" s="406"/>
      <c r="O136" s="283"/>
    </row>
    <row r="137" spans="3:15" ht="15.75" customHeight="1">
      <c r="C137" s="9" t="s">
        <v>752</v>
      </c>
      <c r="H137" s="406">
        <f>IF(VLOOKUP(GAS!N137,'GAS ASCII'!$B$2:$C$200,2)&gt;=500000,VLOOKUP(GAS!N137,'GAS ASCII'!$B$2:$C$200,2)/1000000,IF(VLOOKUP(GAS!N137,'GAS ASCII'!$B$2:$C$200,2)&lt;=0,"……………….","*"))</f>
        <v>2072.765</v>
      </c>
      <c r="I137" s="21"/>
      <c r="J137" s="406" t="str">
        <f>IF(VLOOKUP(GAS!N137,'GAS ASCII'!$B$2:$D$200,3)&gt;=500000,VLOOKUP(GAS!N137,'GAS ASCII'!$B$2:$D$200,3)/-1000000,IF(VLOOKUP(GAS!N137,'GAS ASCII'!$B$2:$D$200,3)&lt;=0,"……………….","*"))</f>
        <v>……………….</v>
      </c>
      <c r="K137" s="27"/>
      <c r="L137" s="406">
        <f>IF(VLOOKUP(GAS!N137,'GAS ASCII'!$B$2:$E$200,4)&gt;=500000,VLOOKUP(GAS!N137,'GAS ASCII'!$B$2:$E$200,4)/1000000,IF(VLOOKUP(GAS!N137,'GAS ASCII'!$B$2:$E$200,4)&lt;=0,"……………….","*"))</f>
        <v>2072.765</v>
      </c>
      <c r="M137" s="21"/>
      <c r="N137" t="s">
        <v>641</v>
      </c>
      <c r="O137" s="283"/>
    </row>
    <row r="138" spans="3:15" ht="15.75" customHeight="1">
      <c r="C138" s="9" t="s">
        <v>322</v>
      </c>
      <c r="H138" s="406"/>
      <c r="I138" s="21"/>
      <c r="J138" s="406"/>
      <c r="K138" s="21"/>
      <c r="L138" s="406"/>
      <c r="M138" s="21"/>
      <c r="O138" s="283"/>
    </row>
    <row r="139" spans="3:15" ht="15.75" customHeight="1">
      <c r="C139" s="9" t="s">
        <v>893</v>
      </c>
      <c r="H139" s="406">
        <f>IF(VLOOKUP(GAS!N139,'GAS ASCII'!$B$2:$C$200,2)&gt;=500000,VLOOKUP(GAS!N139,'GAS ASCII'!$B$2:$C$200,2)/1000000,IF(VLOOKUP(GAS!N139,'GAS ASCII'!$B$2:$C$200,2)&lt;=0,"……………….","*"))</f>
        <v>55.221</v>
      </c>
      <c r="I139" s="21"/>
      <c r="J139" s="406" t="str">
        <f>IF(VLOOKUP(GAS!N139,'GAS ASCII'!$B$2:$D$200,3)&gt;=500000,VLOOKUP(GAS!N139,'GAS ASCII'!$B$2:$D$200,3)/-1000000,IF(VLOOKUP(GAS!N139,'GAS ASCII'!$B$2:$D$200,3)&lt;=0,"……………….","*"))</f>
        <v>*</v>
      </c>
      <c r="K139" s="21"/>
      <c r="L139" s="406">
        <f>IF(VLOOKUP(GAS!N139,'GAS ASCII'!$B$2:$E$200,4)&gt;=500000,VLOOKUP(GAS!N139,'GAS ASCII'!$B$2:$E$200,4)/1000000,IF(VLOOKUP(GAS!N139,'GAS ASCII'!$B$2:$E$200,4)&lt;=0,"……………….","*"))</f>
        <v>54.773</v>
      </c>
      <c r="M139" s="21"/>
      <c r="N139" t="s">
        <v>643</v>
      </c>
      <c r="O139" s="283"/>
    </row>
    <row r="140" spans="3:15" ht="15.75" customHeight="1">
      <c r="C140" s="9" t="s">
        <v>1010</v>
      </c>
      <c r="H140" s="406">
        <f>IF(VLOOKUP(GAS!N140,'GAS ASCII'!$B$2:$C$200,2)&gt;=500000,VLOOKUP(GAS!N140,'GAS ASCII'!$B$2:$C$200,2)/1000000,IF(VLOOKUP(GAS!N140,'GAS ASCII'!$B$2:$C$200,2)&lt;=0,"……………….","*"))</f>
        <v>2181.354</v>
      </c>
      <c r="I140" s="21"/>
      <c r="J140" s="406" t="str">
        <f>IF(VLOOKUP(GAS!N140,'GAS ASCII'!$B$2:$D$200,3)&gt;=500000,VLOOKUP(GAS!N140,'GAS ASCII'!$B$2:$D$200,3)/-1000000,IF(VLOOKUP(GAS!N140,'GAS ASCII'!$B$2:$D$200,3)&lt;=0,"……………….","*"))</f>
        <v>……………….</v>
      </c>
      <c r="K140" s="27"/>
      <c r="L140" s="406">
        <f>IF(VLOOKUP(GAS!N140,'GAS ASCII'!$B$2:$E$200,4)&gt;=500000,VLOOKUP(GAS!N140,'GAS ASCII'!$B$2:$E$200,4)/1000000,IF(VLOOKUP(GAS!N140,'GAS ASCII'!$B$2:$E$200,4)&lt;=0,"……………….","*"))</f>
        <v>2181.354</v>
      </c>
      <c r="M140" s="21"/>
      <c r="N140" t="s">
        <v>645</v>
      </c>
      <c r="O140" s="283"/>
    </row>
    <row r="141" spans="3:15" ht="15.75" customHeight="1">
      <c r="C141" s="9" t="s">
        <v>324</v>
      </c>
      <c r="H141" s="406">
        <f>IF(VLOOKUP(GAS!N141,'GAS ASCII'!$B$2:$C$200,2)&gt;=500000,VLOOKUP(GAS!N141,'GAS ASCII'!$B$2:$C$200,2)/1000000,IF(VLOOKUP(GAS!N141,'GAS ASCII'!$B$2:$C$200,2)&lt;=0,"……………….","*"))</f>
        <v>41678.22</v>
      </c>
      <c r="I141" s="21"/>
      <c r="J141" s="406">
        <f>IF(VLOOKUP(GAS!N141,'GAS ASCII'!$B$2:$D$200,3)&gt;=500000,VLOOKUP(GAS!N141,'GAS ASCII'!$B$2:$D$200,3)/-1000000,IF(VLOOKUP(GAS!N141,'GAS ASCII'!$B$2:$D$200,3)&lt;=0,"……………….","*"))</f>
        <v>-27009.195</v>
      </c>
      <c r="K141" s="27"/>
      <c r="L141" s="406">
        <f>IF(VLOOKUP(GAS!N141,'GAS ASCII'!$B$2:$E$200,4)&gt;=500000,VLOOKUP(GAS!N141,'GAS ASCII'!$B$2:$E$200,4)/1000000,IF(VLOOKUP(GAS!N141,'GAS ASCII'!$B$2:$E$200,4)&lt;=0,"……………….","*"))</f>
        <v>14669.025</v>
      </c>
      <c r="M141" s="21"/>
      <c r="N141" t="s">
        <v>647</v>
      </c>
      <c r="O141" s="283"/>
    </row>
    <row r="142" spans="3:15" ht="15.75" customHeight="1">
      <c r="C142" s="9" t="s">
        <v>996</v>
      </c>
      <c r="H142" s="406">
        <f>IF(VLOOKUP(GAS!N142,'GAS ASCII'!$B$2:$C$200,2)&gt;=500000,VLOOKUP(GAS!N142,'GAS ASCII'!$B$2:$C$200,2)/1000000,IF(VLOOKUP(GAS!N142,'GAS ASCII'!$B$2:$C$200,2)&lt;=0,"……………….","*"))</f>
        <v>0.6110740699999999</v>
      </c>
      <c r="I142" s="21"/>
      <c r="J142" s="406" t="str">
        <f>IF(VLOOKUP(GAS!N142,'GAS ASCII'!$B$2:$D$200,3)&gt;=500000,VLOOKUP(GAS!N142,'GAS ASCII'!$B$2:$D$200,3)/-1000000,IF(VLOOKUP(GAS!N142,'GAS ASCII'!$B$2:$D$200,3)&lt;=0,"……………….","*"))</f>
        <v>……………….</v>
      </c>
      <c r="K142" s="27"/>
      <c r="L142" s="406">
        <f>IF(VLOOKUP(GAS!N142,'GAS ASCII'!$B$2:$E$200,4)&gt;=500000,VLOOKUP(GAS!N142,'GAS ASCII'!$B$2:$E$200,4)/1000000,IF(VLOOKUP(GAS!N142,'GAS ASCII'!$B$2:$E$200,4)&lt;=0,"……………….","*"))</f>
        <v>0.6110740699999999</v>
      </c>
      <c r="M142" s="21"/>
      <c r="N142" t="s">
        <v>1210</v>
      </c>
      <c r="O142" s="283"/>
    </row>
    <row r="143" spans="3:15" ht="15.75" customHeight="1">
      <c r="C143" s="9"/>
      <c r="H143" s="406"/>
      <c r="I143" s="21"/>
      <c r="J143" s="406"/>
      <c r="K143" s="27"/>
      <c r="L143" s="406"/>
      <c r="M143" s="21"/>
      <c r="O143" s="283"/>
    </row>
    <row r="144" spans="3:15" ht="15.75" customHeight="1">
      <c r="C144" s="9" t="s">
        <v>894</v>
      </c>
      <c r="H144" s="406">
        <f>IF(VLOOKUP(GAS!N144,'GAS ASCII'!$B$2:$C$200,2)&gt;=500000,VLOOKUP(GAS!N144,'GAS ASCII'!$B$2:$C$200,2)/1000000,IF(VLOOKUP(GAS!N144,'GAS ASCII'!$B$2:$C$200,2)&lt;=0,"……………….","*"))</f>
        <v>351.059</v>
      </c>
      <c r="I144" s="21"/>
      <c r="J144" s="406" t="str">
        <f>IF(VLOOKUP(GAS!N144,'GAS ASCII'!$B$2:$D$200,3)&gt;=500000,VLOOKUP(GAS!N144,'GAS ASCII'!$B$2:$D$200,3)/-1000000,IF(VLOOKUP(GAS!N144,'GAS ASCII'!$B$2:$D$200,3)&lt;=0,"……………….","*"))</f>
        <v>……………….</v>
      </c>
      <c r="K144" s="27"/>
      <c r="L144" s="406">
        <f>IF(VLOOKUP(GAS!N144,'GAS ASCII'!$B$2:$E$200,4)&gt;=500000,VLOOKUP(GAS!N144,'GAS ASCII'!$B$2:$E$200,4)/1000000,IF(VLOOKUP(GAS!N144,'GAS ASCII'!$B$2:$E$200,4)&lt;=0,"……………….","*"))</f>
        <v>351.059</v>
      </c>
      <c r="M144" s="21"/>
      <c r="N144" t="s">
        <v>649</v>
      </c>
      <c r="O144" s="283"/>
    </row>
    <row r="145" spans="3:15" ht="15.75" customHeight="1">
      <c r="C145" s="132" t="s">
        <v>787</v>
      </c>
      <c r="H145" s="406" t="str">
        <f>IF(VLOOKUP(GAS!N145,'GAS ASCII'!$B$2:$C$200,2)&gt;=500000,VLOOKUP(GAS!N145,'GAS ASCII'!$B$2:$C$200,2)/1000000,IF(VLOOKUP(GAS!N145,'GAS ASCII'!$B$2:$C$200,2)&lt;=0,"……………….","*"))</f>
        <v>*</v>
      </c>
      <c r="I145" s="21"/>
      <c r="J145" s="406" t="str">
        <f>IF(VLOOKUP(GAS!N145,'GAS ASCII'!$B$2:$D$200,3)&gt;=500000,VLOOKUP(GAS!N145,'GAS ASCII'!$B$2:$D$200,3)/-1000000,IF(VLOOKUP(GAS!N145,'GAS ASCII'!$B$2:$D$200,3)&lt;=0,"……………….","*"))</f>
        <v>……………….</v>
      </c>
      <c r="K145" s="27"/>
      <c r="L145" s="406" t="str">
        <f>IF(VLOOKUP(GAS!N145,'GAS ASCII'!$B$2:$E$200,4)&gt;=500000,VLOOKUP(GAS!N145,'GAS ASCII'!$B$2:$E$200,4)/1000000,IF(VLOOKUP(GAS!N145,'GAS ASCII'!$B$2:$E$200,4)&lt;=0,"……………….","*"))</f>
        <v>*</v>
      </c>
      <c r="M145" s="21"/>
      <c r="N145" t="s">
        <v>192</v>
      </c>
      <c r="O145" s="283"/>
    </row>
    <row r="146" spans="3:15" ht="15.75" customHeight="1">
      <c r="C146" s="9" t="s">
        <v>1117</v>
      </c>
      <c r="H146" s="406">
        <f>IF(VLOOKUP(GAS!N146,'GAS ASCII'!$B$2:$C$200,2)&gt;=500000,VLOOKUP(GAS!N146,'GAS ASCII'!$B$2:$C$200,2)/1000000,IF(VLOOKUP(GAS!N146,'GAS ASCII'!$B$2:$C$200,2)&lt;=0,"……………….","*"))</f>
        <v>4.427</v>
      </c>
      <c r="I146" s="21"/>
      <c r="J146" s="406" t="str">
        <f>IF(VLOOKUP(GAS!N146,'GAS ASCII'!$B$2:$D$200,3)&gt;=500000,VLOOKUP(GAS!N146,'GAS ASCII'!$B$2:$D$200,3)/-1000000,IF(VLOOKUP(GAS!N146,'GAS ASCII'!$B$2:$D$200,3)&lt;=0,"……………….","*"))</f>
        <v>*</v>
      </c>
      <c r="K146" s="3"/>
      <c r="L146" s="406">
        <f>IF(VLOOKUP(GAS!N146,'GAS ASCII'!$B$2:$E$200,4)&gt;=500000,VLOOKUP(GAS!N146,'GAS ASCII'!$B$2:$E$200,4)/1000000,IF(VLOOKUP(GAS!N146,'GAS ASCII'!$B$2:$E$200,4)&lt;=0,"……………….","*"))</f>
        <v>4.277</v>
      </c>
      <c r="M146" s="21"/>
      <c r="N146" t="s">
        <v>194</v>
      </c>
      <c r="O146" s="283"/>
    </row>
    <row r="147" spans="8:15" ht="15.75" customHeight="1">
      <c r="H147" s="406"/>
      <c r="J147" s="406"/>
      <c r="L147" s="406"/>
      <c r="O147" s="283"/>
    </row>
    <row r="148" spans="3:15" ht="15.75" customHeight="1">
      <c r="C148" s="9" t="s">
        <v>784</v>
      </c>
      <c r="H148" s="406">
        <f>IF(VLOOKUP(GAS!N148,'GAS ASCII'!$B$2:$C$200,2)&gt;=500000,VLOOKUP(GAS!N148,'GAS ASCII'!$B$2:$C$200,2)/1000000,IF(VLOOKUP(GAS!N148,'GAS ASCII'!$B$2:$C$200,2)&lt;=0,"……………….","*"))</f>
        <v>37.274</v>
      </c>
      <c r="I148" s="21"/>
      <c r="J148" s="406" t="str">
        <f>IF(VLOOKUP(GAS!N148,'GAS ASCII'!$B$2:$D$200,3)&gt;=500000,VLOOKUP(GAS!N148,'GAS ASCII'!$B$2:$D$200,3)/-1000000,IF(VLOOKUP(GAS!N148,'GAS ASCII'!$B$2:$D$200,3)&lt;=0,"……………….","*"))</f>
        <v>……………….</v>
      </c>
      <c r="K148" s="27"/>
      <c r="L148" s="406">
        <f>IF(VLOOKUP(GAS!N148,'GAS ASCII'!$B$2:$E$200,4)&gt;=500000,VLOOKUP(GAS!N148,'GAS ASCII'!$B$2:$E$200,4)/1000000,IF(VLOOKUP(GAS!N148,'GAS ASCII'!$B$2:$E$200,4)&lt;=0,"……………….","*"))</f>
        <v>37.274</v>
      </c>
      <c r="M148" s="21"/>
      <c r="N148" t="s">
        <v>196</v>
      </c>
      <c r="O148" s="283"/>
    </row>
    <row r="149" spans="3:15" ht="15.75" customHeight="1">
      <c r="C149" s="9" t="s">
        <v>785</v>
      </c>
      <c r="H149" s="406"/>
      <c r="I149" s="21"/>
      <c r="J149" s="406"/>
      <c r="K149" s="21"/>
      <c r="L149" s="406"/>
      <c r="M149" s="21"/>
      <c r="O149" s="283"/>
    </row>
    <row r="150" spans="3:15" ht="15.75" customHeight="1">
      <c r="C150" s="9" t="s">
        <v>896</v>
      </c>
      <c r="H150" s="406">
        <f>IF(VLOOKUP(GAS!N150,'GAS ASCII'!$B$2:$C$200,2)&gt;=500000,VLOOKUP(GAS!N150,'GAS ASCII'!$B$2:$C$200,2)/1000000,IF(VLOOKUP(GAS!N150,'GAS ASCII'!$B$2:$C$200,2)&lt;=0,"……………….","*"))</f>
        <v>38.956</v>
      </c>
      <c r="I150" s="21"/>
      <c r="J150" s="406" t="str">
        <f>IF(VLOOKUP(GAS!N150,'GAS ASCII'!$B$2:$D$200,3)&gt;=500000,VLOOKUP(GAS!N150,'GAS ASCII'!$B$2:$D$200,3)/-1000000,IF(VLOOKUP(GAS!N150,'GAS ASCII'!$B$2:$D$200,3)&lt;=0,"……………….","*"))</f>
        <v>*</v>
      </c>
      <c r="K150" s="3"/>
      <c r="L150" s="406">
        <f>IF(VLOOKUP(GAS!N150,'GAS ASCII'!$B$2:$E$200,4)&gt;=500000,VLOOKUP(GAS!N150,'GAS ASCII'!$B$2:$E$200,4)/1000000,IF(VLOOKUP(GAS!N150,'GAS ASCII'!$B$2:$E$200,4)&lt;=0,"……………….","*"))</f>
        <v>38.78</v>
      </c>
      <c r="M150" s="21"/>
      <c r="N150" t="s">
        <v>198</v>
      </c>
      <c r="O150" s="283"/>
    </row>
    <row r="151" spans="3:15" ht="15.75" customHeight="1">
      <c r="C151" s="9" t="s">
        <v>1199</v>
      </c>
      <c r="H151" s="406">
        <f>IF(VLOOKUP(GAS!N151,'GAS ASCII'!$B$2:$C$200,2)&gt;=500000,VLOOKUP(GAS!N151,'GAS ASCII'!$B$2:$C$200,2)/1000000,IF(VLOOKUP(GAS!N151,'GAS ASCII'!$B$2:$C$200,2)&lt;=0,"……………….","*"))</f>
        <v>11.376</v>
      </c>
      <c r="I151" s="21"/>
      <c r="J151" s="406">
        <f>IF(VLOOKUP(GAS!N151,'GAS ASCII'!$B$2:$D$200,3)&gt;=500000,VLOOKUP(GAS!N151,'GAS ASCII'!$B$2:$D$200,3)/-1000000,IF(VLOOKUP(GAS!N151,'GAS ASCII'!$B$2:$D$200,3)&lt;=0,"……………….","*"))</f>
        <v>-0.519</v>
      </c>
      <c r="K151" s="3"/>
      <c r="L151" s="406">
        <f>IF(VLOOKUP(GAS!N151,'GAS ASCII'!$B$2:$E$200,4)&gt;=500000,VLOOKUP(GAS!N151,'GAS ASCII'!$B$2:$E$200,4)/1000000,IF(VLOOKUP(GAS!N151,'GAS ASCII'!$B$2:$E$200,4)&lt;=0,"……………….","*"))</f>
        <v>10.857</v>
      </c>
      <c r="M151" s="21"/>
      <c r="N151" t="s">
        <v>200</v>
      </c>
      <c r="O151" s="283"/>
    </row>
    <row r="152" spans="3:15" ht="15.75" customHeight="1">
      <c r="C152" s="9" t="s">
        <v>119</v>
      </c>
      <c r="H152" s="406">
        <f>IF(VLOOKUP(GAS!N152,'GAS ASCII'!$B$2:$C$200,2)&gt;=500000,VLOOKUP(GAS!N152,'GAS ASCII'!$B$2:$C$200,2)/1000000,IF(VLOOKUP(GAS!N152,'GAS ASCII'!$B$2:$C$200,2)&lt;=0,"……………….","*"))</f>
        <v>190.064</v>
      </c>
      <c r="I152" s="21"/>
      <c r="J152" s="406" t="str">
        <f>IF(VLOOKUP(GAS!N152,'GAS ASCII'!$B$2:$D$200,3)&gt;=500000,VLOOKUP(GAS!N152,'GAS ASCII'!$B$2:$D$200,3)/-1000000,IF(VLOOKUP(GAS!N152,'GAS ASCII'!$B$2:$D$200,3)&lt;=0,"……………….","*"))</f>
        <v>……………….</v>
      </c>
      <c r="K152" s="27"/>
      <c r="L152" s="406">
        <f>IF(VLOOKUP(GAS!N152,'GAS ASCII'!$B$2:$E$200,4)&gt;=500000,VLOOKUP(GAS!N152,'GAS ASCII'!$B$2:$E$200,4)/1000000,IF(VLOOKUP(GAS!N152,'GAS ASCII'!$B$2:$E$200,4)&lt;=0,"……………….","*"))</f>
        <v>190.064</v>
      </c>
      <c r="M152" s="21"/>
      <c r="N152" t="s">
        <v>202</v>
      </c>
      <c r="O152" s="283"/>
    </row>
    <row r="153" spans="3:15" ht="15.75" customHeight="1">
      <c r="C153" s="9" t="s">
        <v>121</v>
      </c>
      <c r="H153" s="406">
        <f>IF(VLOOKUP(GAS!N153,'GAS ASCII'!$B$2:$C$200,2)&gt;=500000,VLOOKUP(GAS!N153,'GAS ASCII'!$B$2:$C$200,2)/1000000,IF(VLOOKUP(GAS!N153,'GAS ASCII'!$B$2:$C$200,2)&lt;=0,"……………….","*"))</f>
        <v>433.665</v>
      </c>
      <c r="I153" s="21"/>
      <c r="J153" s="406" t="str">
        <f>IF(VLOOKUP(GAS!N153,'GAS ASCII'!$B$2:$D$200,3)&gt;=500000,VLOOKUP(GAS!N153,'GAS ASCII'!$B$2:$D$200,3)/-1000000,IF(VLOOKUP(GAS!N153,'GAS ASCII'!$B$2:$D$200,3)&lt;=0,"……………….","*"))</f>
        <v>……………….</v>
      </c>
      <c r="K153" s="27"/>
      <c r="L153" s="406">
        <f>IF(VLOOKUP(GAS!N153,'GAS ASCII'!$B$2:$E$200,4)&gt;=500000,VLOOKUP(GAS!N153,'GAS ASCII'!$B$2:$E$200,4)/1000000,IF(VLOOKUP(GAS!N153,'GAS ASCII'!$B$2:$E$200,4)&lt;=0,"……………….","*"))</f>
        <v>433.665</v>
      </c>
      <c r="M153" s="21"/>
      <c r="N153" t="s">
        <v>204</v>
      </c>
      <c r="O153" s="283"/>
    </row>
    <row r="154" spans="8:15" ht="15.75" customHeight="1">
      <c r="H154" s="406"/>
      <c r="I154" s="21"/>
      <c r="J154" s="406"/>
      <c r="K154" s="21"/>
      <c r="L154" s="406"/>
      <c r="M154" s="21"/>
      <c r="O154" s="283"/>
    </row>
    <row r="155" spans="3:15" ht="15.75" customHeight="1">
      <c r="C155" s="9" t="s">
        <v>126</v>
      </c>
      <c r="H155" s="406">
        <f>IF(VLOOKUP(GAS!N155,'GAS ASCII'!$B$2:$C$200,2)&gt;=500000,VLOOKUP(GAS!N155,'GAS ASCII'!$B$2:$C$200,2)/1000000,IF(VLOOKUP(GAS!N155,'GAS ASCII'!$B$2:$C$200,2)&lt;=0,"……………….","*"))</f>
        <v>6.724</v>
      </c>
      <c r="I155" s="21"/>
      <c r="J155" s="406" t="str">
        <f>IF(VLOOKUP(GAS!N155,'GAS ASCII'!$B$2:$D$200,3)&gt;=500000,VLOOKUP(GAS!N155,'GAS ASCII'!$B$2:$D$200,3)/-1000000,IF(VLOOKUP(GAS!N155,'GAS ASCII'!$B$2:$D$200,3)&lt;=0,"……………….","*"))</f>
        <v>*</v>
      </c>
      <c r="K155" s="3"/>
      <c r="L155" s="406">
        <f>IF(VLOOKUP(GAS!N155,'GAS ASCII'!$B$2:$E$200,4)&gt;=500000,VLOOKUP(GAS!N155,'GAS ASCII'!$B$2:$E$200,4)/1000000,IF(VLOOKUP(GAS!N155,'GAS ASCII'!$B$2:$E$200,4)&lt;=0,"……………….","*"))</f>
        <v>6.634</v>
      </c>
      <c r="M155" s="21"/>
      <c r="N155" t="s">
        <v>206</v>
      </c>
      <c r="O155" s="283"/>
    </row>
    <row r="156" spans="3:15" ht="15.75" customHeight="1">
      <c r="C156" s="9"/>
      <c r="H156" s="406"/>
      <c r="I156" s="21"/>
      <c r="J156" s="406"/>
      <c r="K156" s="3"/>
      <c r="L156" s="406"/>
      <c r="M156" s="21"/>
      <c r="O156" s="283"/>
    </row>
    <row r="157" spans="3:15" ht="15.75" customHeight="1">
      <c r="C157" s="9" t="s">
        <v>603</v>
      </c>
      <c r="H157" s="406">
        <f>IF(VLOOKUP(GAS!N157,'GAS ASCII'!$B$2:$C$200,2)&gt;=500000,VLOOKUP(GAS!N157,'GAS ASCII'!$B$2:$C$200,2)/1000000,IF(VLOOKUP(GAS!N157,'GAS ASCII'!$B$2:$C$200,2)&lt;=0,"……………….","*"))</f>
        <v>4.093</v>
      </c>
      <c r="I157" s="21"/>
      <c r="J157" s="406" t="str">
        <f>IF(VLOOKUP(GAS!N157,'GAS ASCII'!$B$2:$D$200,3)&gt;=500000,VLOOKUP(GAS!N157,'GAS ASCII'!$B$2:$D$200,3)/-1000000,IF(VLOOKUP(GAS!N157,'GAS ASCII'!$B$2:$D$200,3)&lt;=0,"……………….","*"))</f>
        <v>……………….</v>
      </c>
      <c r="K157" s="27"/>
      <c r="L157" s="406">
        <f>IF(VLOOKUP(GAS!N157,'GAS ASCII'!$B$2:$E$200,4)&gt;=500000,VLOOKUP(GAS!N157,'GAS ASCII'!$B$2:$E$200,4)/1000000,IF(VLOOKUP(GAS!N157,'GAS ASCII'!$B$2:$E$200,4)&lt;=0,"……………….","*"))</f>
        <v>4.093</v>
      </c>
      <c r="M157" s="21"/>
      <c r="N157" t="s">
        <v>208</v>
      </c>
      <c r="O157" s="283"/>
    </row>
    <row r="158" spans="3:15" ht="15.75" customHeight="1">
      <c r="C158" s="9" t="s">
        <v>881</v>
      </c>
      <c r="H158" s="406">
        <f>IF(VLOOKUP(GAS!N158,'GAS ASCII'!$B$2:$C$200,2)&gt;=500000,VLOOKUP(GAS!N158,'GAS ASCII'!$B$2:$C$200,2)/1000000,IF(VLOOKUP(GAS!N158,'GAS ASCII'!$B$2:$C$200,2)&lt;=0,"……………….","*"))</f>
        <v>2157.304</v>
      </c>
      <c r="I158" s="21"/>
      <c r="J158" s="406" t="str">
        <f>IF(VLOOKUP(GAS!N158,'GAS ASCII'!$B$2:$D$200,3)&gt;=500000,VLOOKUP(GAS!N158,'GAS ASCII'!$B$2:$D$200,3)/-1000000,IF(VLOOKUP(GAS!N158,'GAS ASCII'!$B$2:$D$200,3)&lt;=0,"……………….","*"))</f>
        <v>……………….</v>
      </c>
      <c r="K158" s="27"/>
      <c r="L158" s="406">
        <f>IF(VLOOKUP(GAS!N158,'GAS ASCII'!$B$2:$E$200,4)&gt;=500000,VLOOKUP(GAS!N158,'GAS ASCII'!$B$2:$E$200,4)/1000000,IF(VLOOKUP(GAS!N158,'GAS ASCII'!$B$2:$E$200,4)&lt;=0,"……………….","*"))</f>
        <v>2157.304</v>
      </c>
      <c r="M158" s="21"/>
      <c r="N158" t="s">
        <v>210</v>
      </c>
      <c r="O158" s="283"/>
    </row>
    <row r="159" spans="3:15" ht="15.75" customHeight="1">
      <c r="C159" s="9" t="s">
        <v>1171</v>
      </c>
      <c r="H159" s="406">
        <f>IF(VLOOKUP(GAS!N159,'GAS ASCII'!$B$2:$C$200,2)&gt;=500000,VLOOKUP(GAS!N159,'GAS ASCII'!$B$2:$C$200,2)/1000000,IF(VLOOKUP(GAS!N159,'GAS ASCII'!$B$2:$C$200,2)&lt;=0,"……………….","*"))</f>
        <v>7.426</v>
      </c>
      <c r="I159" s="21"/>
      <c r="J159" s="406" t="str">
        <f>IF(VLOOKUP(GAS!N159,'GAS ASCII'!$B$2:$D$200,3)&gt;=500000,VLOOKUP(GAS!N159,'GAS ASCII'!$B$2:$D$200,3)/-1000000,IF(VLOOKUP(GAS!N159,'GAS ASCII'!$B$2:$D$200,3)&lt;=0,"……………….","*"))</f>
        <v>……………….</v>
      </c>
      <c r="K159" s="27"/>
      <c r="L159" s="406">
        <f>IF(VLOOKUP(GAS!N159,'GAS ASCII'!$B$2:$E$200,4)&gt;=500000,VLOOKUP(GAS!N159,'GAS ASCII'!$B$2:$E$200,4)/1000000,IF(VLOOKUP(GAS!N159,'GAS ASCII'!$B$2:$E$200,4)&lt;=0,"……………….","*"))</f>
        <v>7.426</v>
      </c>
      <c r="M159" s="21"/>
      <c r="N159" t="s">
        <v>212</v>
      </c>
      <c r="O159" s="283"/>
    </row>
    <row r="160" spans="3:15" ht="15.75" customHeight="1">
      <c r="C160" s="9" t="s">
        <v>882</v>
      </c>
      <c r="H160" s="406">
        <f>IF(VLOOKUP(GAS!N160,'GAS ASCII'!$B$2:$C$200,2)&gt;=500000,VLOOKUP(GAS!N160,'GAS ASCII'!$B$2:$C$200,2)/1000000,IF(VLOOKUP(GAS!N160,'GAS ASCII'!$B$2:$C$200,2)&lt;=0,"……………….","*"))</f>
        <v>37.596</v>
      </c>
      <c r="I160" s="21"/>
      <c r="J160" s="406" t="str">
        <f>IF(VLOOKUP(GAS!N160,'GAS ASCII'!$B$2:$D$200,3)&gt;=500000,VLOOKUP(GAS!N160,'GAS ASCII'!$B$2:$D$200,3)/-1000000,IF(VLOOKUP(GAS!N160,'GAS ASCII'!$B$2:$D$200,3)&lt;=0,"……………….","*"))</f>
        <v>……………….</v>
      </c>
      <c r="K160" s="27"/>
      <c r="L160" s="406">
        <f>IF(VLOOKUP(GAS!N160,'GAS ASCII'!$B$2:$E$200,4)&gt;=500000,VLOOKUP(GAS!N160,'GAS ASCII'!$B$2:$E$200,4)/1000000,IF(VLOOKUP(GAS!N160,'GAS ASCII'!$B$2:$E$200,4)&lt;=0,"……………….","*"))</f>
        <v>37.596</v>
      </c>
      <c r="M160" s="21"/>
      <c r="N160" t="s">
        <v>214</v>
      </c>
      <c r="O160" s="283"/>
    </row>
    <row r="161" spans="3:15" ht="15.75" customHeight="1">
      <c r="C161" s="9" t="s">
        <v>897</v>
      </c>
      <c r="H161" s="406" t="str">
        <f>IF(VLOOKUP(GAS!N161,'GAS ASCII'!$B$2:$C$200,2)&gt;=500000,VLOOKUP(GAS!N161,'GAS ASCII'!$B$2:$C$200,2)/1000000,IF(VLOOKUP(GAS!N161,'GAS ASCII'!$B$2:$C$200,2)&lt;=0,"……………….","*"))</f>
        <v>*</v>
      </c>
      <c r="I161" s="21"/>
      <c r="J161" s="406" t="str">
        <f>IF(VLOOKUP(GAS!N161,'GAS ASCII'!$B$2:$D$200,3)&gt;=500000,VLOOKUP(GAS!N161,'GAS ASCII'!$B$2:$D$200,3)/-1000000,IF(VLOOKUP(GAS!N161,'GAS ASCII'!$B$2:$D$200,3)&lt;=0,"……………….","*"))</f>
        <v>……………….</v>
      </c>
      <c r="K161" s="27"/>
      <c r="L161" s="406" t="str">
        <f>IF(VLOOKUP(GAS!N161,'GAS ASCII'!$B$2:$E$200,4)&gt;=500000,VLOOKUP(GAS!N161,'GAS ASCII'!$B$2:$E$200,4)/1000000,IF(VLOOKUP(GAS!N161,'GAS ASCII'!$B$2:$E$200,4)&lt;=0,"……………….","*"))</f>
        <v>*</v>
      </c>
      <c r="M161" s="21"/>
      <c r="N161" t="s">
        <v>216</v>
      </c>
      <c r="O161" s="283"/>
    </row>
    <row r="162" spans="3:15" ht="15.75" customHeight="1">
      <c r="C162" s="9" t="s">
        <v>537</v>
      </c>
      <c r="H162" s="406">
        <f>IF(VLOOKUP(GAS!N162,'GAS ASCII'!$B$2:$C$200,2)&gt;=500000,VLOOKUP(GAS!N162,'GAS ASCII'!$B$2:$C$200,2)/1000000,IF(VLOOKUP(GAS!N162,'GAS ASCII'!$B$2:$C$200,2)&lt;=0,"……………….","*"))</f>
        <v>8.382</v>
      </c>
      <c r="I162" s="21"/>
      <c r="J162" s="406" t="str">
        <f>IF(VLOOKUP(GAS!N162,'GAS ASCII'!$B$2:$D$200,3)&gt;=500000,VLOOKUP(GAS!N162,'GAS ASCII'!$B$2:$D$200,3)/-1000000,IF(VLOOKUP(GAS!N162,'GAS ASCII'!$B$2:$D$200,3)&lt;=0,"……………….","*"))</f>
        <v>……………….</v>
      </c>
      <c r="K162" s="27"/>
      <c r="L162" s="406">
        <f>IF(VLOOKUP(GAS!N162,'GAS ASCII'!$B$2:$E$200,4)&gt;=500000,VLOOKUP(GAS!N162,'GAS ASCII'!$B$2:$E$200,4)/1000000,IF(VLOOKUP(GAS!N162,'GAS ASCII'!$B$2:$E$200,4)&lt;=0,"……………….","*"))</f>
        <v>8.382</v>
      </c>
      <c r="M162" s="21"/>
      <c r="N162" t="s">
        <v>218</v>
      </c>
      <c r="O162" s="283"/>
    </row>
    <row r="163" spans="3:15" ht="15.75" customHeight="1">
      <c r="C163" s="9"/>
      <c r="H163" s="406"/>
      <c r="I163" s="21"/>
      <c r="J163" s="406"/>
      <c r="K163" s="27"/>
      <c r="L163" s="406"/>
      <c r="M163" s="21"/>
      <c r="O163" s="283"/>
    </row>
    <row r="164" spans="3:15" ht="15.75" customHeight="1">
      <c r="C164" s="9" t="s">
        <v>766</v>
      </c>
      <c r="H164" s="406">
        <f>IF(VLOOKUP(GAS!N164,'GAS ASCII'!$B$2:$C$200,2)&gt;=500000,VLOOKUP(GAS!N164,'GAS ASCII'!$B$2:$C$200,2)/1000000,IF(VLOOKUP(GAS!N164,'GAS ASCII'!$B$2:$C$200,2)&lt;=0,"……………….","*"))</f>
        <v>11.45</v>
      </c>
      <c r="I164" s="21"/>
      <c r="J164" s="406" t="str">
        <f>IF(VLOOKUP(GAS!N164,'GAS ASCII'!$B$2:$D$200,3)&gt;=500000,VLOOKUP(GAS!N164,'GAS ASCII'!$B$2:$D$200,3)/-1000000,IF(VLOOKUP(GAS!N164,'GAS ASCII'!$B$2:$D$200,3)&lt;=0,"……………….","*"))</f>
        <v>……………….</v>
      </c>
      <c r="K164" s="27"/>
      <c r="L164" s="406">
        <f>IF(VLOOKUP(GAS!N164,'GAS ASCII'!$B$2:$E$200,4)&gt;=500000,VLOOKUP(GAS!N164,'GAS ASCII'!$B$2:$E$200,4)/1000000,IF(VLOOKUP(GAS!N164,'GAS ASCII'!$B$2:$E$200,4)&lt;=0,"……………….","*"))</f>
        <v>11.45</v>
      </c>
      <c r="M164" s="21"/>
      <c r="N164" t="s">
        <v>220</v>
      </c>
      <c r="O164" s="283"/>
    </row>
    <row r="165" spans="3:15" ht="15.75" customHeight="1">
      <c r="C165" s="9" t="s">
        <v>885</v>
      </c>
      <c r="H165" s="406"/>
      <c r="I165" s="21"/>
      <c r="J165" s="406"/>
      <c r="K165" s="21"/>
      <c r="L165" s="406"/>
      <c r="M165" s="21"/>
      <c r="O165" s="283"/>
    </row>
    <row r="166" spans="3:15" ht="15.75" customHeight="1">
      <c r="C166" s="9" t="s">
        <v>669</v>
      </c>
      <c r="H166" s="406">
        <f>IF(VLOOKUP(GAS!N166,'GAS ASCII'!$B$2:$C$200,2)&gt;=500000,VLOOKUP(GAS!N166,'GAS ASCII'!$B$2:$C$200,2)/1000000,IF(VLOOKUP(GAS!N166,'GAS ASCII'!$B$2:$C$200,2)&lt;=0,"……………….","*"))</f>
        <v>26.257</v>
      </c>
      <c r="I166" s="21"/>
      <c r="J166" s="406" t="str">
        <f>IF(VLOOKUP(GAS!N166,'GAS ASCII'!$B$2:$D$200,3)&gt;=500000,VLOOKUP(GAS!N166,'GAS ASCII'!$B$2:$D$200,3)/-1000000,IF(VLOOKUP(GAS!N166,'GAS ASCII'!$B$2:$D$200,3)&lt;=0,"……………….","*"))</f>
        <v>……………….</v>
      </c>
      <c r="K166" s="27"/>
      <c r="L166" s="406">
        <f>IF(VLOOKUP(GAS!N166,'GAS ASCII'!$B$2:$E$200,4)&gt;=500000,VLOOKUP(GAS!N166,'GAS ASCII'!$B$2:$E$200,4)/1000000,IF(VLOOKUP(GAS!N166,'GAS ASCII'!$B$2:$E$200,4)&lt;=0,"……………….","*"))</f>
        <v>26.257</v>
      </c>
      <c r="M166" s="21"/>
      <c r="N166" t="s">
        <v>222</v>
      </c>
      <c r="O166" s="283"/>
    </row>
    <row r="167" spans="8:15" ht="15.75" customHeight="1">
      <c r="H167" s="406"/>
      <c r="I167" s="21"/>
      <c r="J167" s="406"/>
      <c r="K167" s="21"/>
      <c r="L167" s="406"/>
      <c r="M167" s="21"/>
      <c r="O167" s="283"/>
    </row>
    <row r="168" spans="3:15" ht="15.75" customHeight="1">
      <c r="C168" s="9" t="s">
        <v>789</v>
      </c>
      <c r="H168" s="406">
        <f>IF(VLOOKUP(GAS!N168,'GAS ASCII'!$B$2:$C$200,2)&gt;=500000,VLOOKUP(GAS!N168,'GAS ASCII'!$B$2:$C$200,2)/1000000,IF(VLOOKUP(GAS!N168,'GAS ASCII'!$B$2:$C$200,2)&lt;=0,"……………….","*"))</f>
        <v>9.624</v>
      </c>
      <c r="I168" s="21"/>
      <c r="J168" s="406" t="str">
        <f>IF(VLOOKUP(GAS!N168,'GAS ASCII'!$B$2:$D$200,3)&gt;=500000,VLOOKUP(GAS!N168,'GAS ASCII'!$B$2:$D$200,3)/-1000000,IF(VLOOKUP(GAS!N168,'GAS ASCII'!$B$2:$D$200,3)&lt;=0,"……………….","*"))</f>
        <v>……………….</v>
      </c>
      <c r="K168" s="27"/>
      <c r="L168" s="406">
        <f>IF(VLOOKUP(GAS!N168,'GAS ASCII'!$B$2:$E$200,4)&gt;=500000,VLOOKUP(GAS!N168,'GAS ASCII'!$B$2:$E$200,4)/1000000,IF(VLOOKUP(GAS!N168,'GAS ASCII'!$B$2:$E$200,4)&lt;=0,"……………….","*"))</f>
        <v>9.624</v>
      </c>
      <c r="M168" s="21"/>
      <c r="N168" t="s">
        <v>224</v>
      </c>
      <c r="O168" s="283"/>
    </row>
    <row r="169" spans="3:15" ht="15.75" customHeight="1">
      <c r="C169" s="9" t="s">
        <v>92</v>
      </c>
      <c r="H169" s="406">
        <f>IF(VLOOKUP(GAS!N169,'GAS ASCII'!$B$2:$C$200,2)&gt;=500000,VLOOKUP(GAS!N169,'GAS ASCII'!$B$2:$C$200,2)/1000000,IF(VLOOKUP(GAS!N169,'GAS ASCII'!$B$2:$C$200,2)&lt;=0,"……………….","*"))</f>
        <v>5922.971</v>
      </c>
      <c r="I169" s="21"/>
      <c r="J169" s="406" t="str">
        <f>IF(VLOOKUP(GAS!N169,'GAS ASCII'!$B$2:$D$200,3)&gt;=500000,VLOOKUP(GAS!N169,'GAS ASCII'!$B$2:$D$200,3)/-1000000,IF(VLOOKUP(GAS!N169,'GAS ASCII'!$B$2:$D$200,3)&lt;=0,"……………….","*"))</f>
        <v>……………….</v>
      </c>
      <c r="K169" s="27"/>
      <c r="L169" s="406">
        <f>IF(VLOOKUP(GAS!N169,'GAS ASCII'!$B$2:$E$200,4)&gt;=500000,VLOOKUP(GAS!N169,'GAS ASCII'!$B$2:$E$200,4)/1000000,IF(VLOOKUP(GAS!N169,'GAS ASCII'!$B$2:$E$200,4)&lt;=0,"……………….","*"))</f>
        <v>5922.971</v>
      </c>
      <c r="M169" s="21"/>
      <c r="N169" t="s">
        <v>226</v>
      </c>
      <c r="O169" s="283"/>
    </row>
    <row r="170" spans="3:15" ht="15.75" customHeight="1">
      <c r="C170" s="9" t="s">
        <v>1001</v>
      </c>
      <c r="H170" s="406">
        <f>IF(VLOOKUP(GAS!N170,'GAS ASCII'!$B$2:$C$200,2)&gt;=500000,VLOOKUP(GAS!N170,'GAS ASCII'!$B$2:$C$200,2)/1000000,IF(VLOOKUP(GAS!N170,'GAS ASCII'!$B$2:$C$200,2)&lt;=0,"……………….","*"))</f>
        <v>6.94</v>
      </c>
      <c r="I170" s="21"/>
      <c r="J170" s="406" t="str">
        <f>IF(VLOOKUP(GAS!N170,'GAS ASCII'!$B$2:$D$200,3)&gt;=500000,VLOOKUP(GAS!N170,'GAS ASCII'!$B$2:$D$200,3)/-1000000,IF(VLOOKUP(GAS!N170,'GAS ASCII'!$B$2:$D$200,3)&lt;=0,"……………….","*"))</f>
        <v>……………….</v>
      </c>
      <c r="K170" s="27"/>
      <c r="L170" s="406">
        <f>IF(VLOOKUP(GAS!N170,'GAS ASCII'!$B$2:$E$200,4)&gt;=500000,VLOOKUP(GAS!N170,'GAS ASCII'!$B$2:$E$200,4)/1000000,IF(VLOOKUP(GAS!N170,'GAS ASCII'!$B$2:$E$200,4)&lt;=0,"……………….","*"))</f>
        <v>6.94</v>
      </c>
      <c r="M170" s="21"/>
      <c r="N170" t="s">
        <v>228</v>
      </c>
      <c r="O170" s="283"/>
    </row>
    <row r="171" spans="3:15" ht="15.75" customHeight="1">
      <c r="C171" s="9" t="s">
        <v>670</v>
      </c>
      <c r="H171" s="406">
        <f>IF(VLOOKUP(GAS!N171,'GAS ASCII'!$B$2:$C$200,2)&gt;=500000,VLOOKUP(GAS!N171,'GAS ASCII'!$B$2:$C$200,2)/1000000,IF(VLOOKUP(GAS!N171,'GAS ASCII'!$B$2:$C$200,2)&lt;=0,"……………….","*"))</f>
        <v>3.371</v>
      </c>
      <c r="I171" s="21"/>
      <c r="J171" s="406" t="str">
        <f>IF(VLOOKUP(GAS!N171,'GAS ASCII'!$B$2:$D$200,3)&gt;=500000,VLOOKUP(GAS!N171,'GAS ASCII'!$B$2:$D$200,3)/-1000000,IF(VLOOKUP(GAS!N171,'GAS ASCII'!$B$2:$D$200,3)&lt;=0,"……………….","*"))</f>
        <v>……………….</v>
      </c>
      <c r="K171" s="27"/>
      <c r="L171" s="406">
        <f>IF(VLOOKUP(GAS!N171,'GAS ASCII'!$B$2:$E$200,4)&gt;=500000,VLOOKUP(GAS!N171,'GAS ASCII'!$B$2:$E$200,4)/1000000,IF(VLOOKUP(GAS!N171,'GAS ASCII'!$B$2:$E$200,4)&lt;=0,"……………….","*"))</f>
        <v>3.371</v>
      </c>
      <c r="M171" s="21"/>
      <c r="N171" t="s">
        <v>230</v>
      </c>
      <c r="O171" s="283"/>
    </row>
    <row r="172" spans="3:15" ht="15.75" customHeight="1">
      <c r="C172" s="9" t="s">
        <v>749</v>
      </c>
      <c r="H172" s="406">
        <f>IF(VLOOKUP(GAS!N172,'GAS ASCII'!$B$2:$C$200,2)&gt;=500000,VLOOKUP(GAS!N172,'GAS ASCII'!$B$2:$C$200,2)/1000000,IF(VLOOKUP(GAS!N172,'GAS ASCII'!$B$2:$C$200,2)&lt;=0,"……………….","*"))</f>
        <v>19.025</v>
      </c>
      <c r="I172" s="21"/>
      <c r="J172" s="406" t="str">
        <f>IF(VLOOKUP(GAS!N172,'GAS ASCII'!$B$2:$D$200,3)&gt;=500000,VLOOKUP(GAS!N172,'GAS ASCII'!$B$2:$D$200,3)/-1000000,IF(VLOOKUP(GAS!N172,'GAS ASCII'!$B$2:$D$200,3)&lt;=0,"……………….","*"))</f>
        <v>……………….</v>
      </c>
      <c r="K172" s="27"/>
      <c r="L172" s="406">
        <f>IF(VLOOKUP(GAS!N172,'GAS ASCII'!$B$2:$E$200,4)&gt;=500000,VLOOKUP(GAS!N172,'GAS ASCII'!$B$2:$E$200,4)/1000000,IF(VLOOKUP(GAS!N172,'GAS ASCII'!$B$2:$E$200,4)&lt;=0,"……………….","*"))</f>
        <v>19.025</v>
      </c>
      <c r="M172" s="21"/>
      <c r="N172" t="s">
        <v>232</v>
      </c>
      <c r="O172" s="283"/>
    </row>
    <row r="173" spans="3:15" ht="15.75" customHeight="1">
      <c r="C173" s="9" t="s">
        <v>770</v>
      </c>
      <c r="H173" s="406">
        <f>IF(VLOOKUP(GAS!N173,'GAS ASCII'!$B$2:$C$200,2)&gt;=500000,VLOOKUP(GAS!N173,'GAS ASCII'!$B$2:$C$200,2)/1000000,IF(VLOOKUP(GAS!N173,'GAS ASCII'!$B$2:$C$200,2)&lt;=0,"……………….","*"))</f>
        <v>21.984</v>
      </c>
      <c r="I173" s="21"/>
      <c r="J173" s="406" t="str">
        <f>IF(VLOOKUP(GAS!N173,'GAS ASCII'!$B$2:$D$200,3)&gt;=500000,VLOOKUP(GAS!N173,'GAS ASCII'!$B$2:$D$200,3)/-1000000,IF(VLOOKUP(GAS!N173,'GAS ASCII'!$B$2:$D$200,3)&lt;=0,"……………….","*"))</f>
        <v>……………….</v>
      </c>
      <c r="K173" s="27"/>
      <c r="L173" s="406">
        <f>IF(VLOOKUP(GAS!N173,'GAS ASCII'!$B$2:$E$200,4)&gt;=500000,VLOOKUP(GAS!N173,'GAS ASCII'!$B$2:$E$200,4)/1000000,IF(VLOOKUP(GAS!N173,'GAS ASCII'!$B$2:$E$200,4)&lt;=0,"……………….","*"))</f>
        <v>21.984</v>
      </c>
      <c r="M173" s="21"/>
      <c r="N173" t="s">
        <v>234</v>
      </c>
      <c r="O173" s="283"/>
    </row>
    <row r="174" spans="3:15" ht="15.75" customHeight="1">
      <c r="C174" s="9" t="s">
        <v>771</v>
      </c>
      <c r="H174" s="406">
        <f>IF(VLOOKUP(GAS!N174,'GAS ASCII'!$B$2:$C$200,2)&gt;=500000,VLOOKUP(GAS!N174,'GAS ASCII'!$B$2:$C$200,2)/1000000,IF(VLOOKUP(GAS!N174,'GAS ASCII'!$B$2:$C$200,2)&lt;=0,"……………….","*"))</f>
        <v>20941.004</v>
      </c>
      <c r="I174" s="21"/>
      <c r="J174" s="406">
        <f>IF(VLOOKUP(GAS!N174,'GAS ASCII'!$B$2:$D$200,3)&gt;=500000,VLOOKUP(GAS!N174,'GAS ASCII'!$B$2:$D$200,3)/-1000000,IF(VLOOKUP(GAS!N174,'GAS ASCII'!$B$2:$D$200,3)&lt;=0,"……………….","*"))</f>
        <v>-9838.588</v>
      </c>
      <c r="K174" s="27"/>
      <c r="L174" s="406">
        <f>IF(VLOOKUP(GAS!N174,'GAS ASCII'!$B$2:$E$200,4)&gt;=500000,VLOOKUP(GAS!N174,'GAS ASCII'!$B$2:$E$200,4)/1000000,IF(VLOOKUP(GAS!N174,'GAS ASCII'!$B$2:$E$200,4)&lt;=0,"……………….","*"))</f>
        <v>11102.416</v>
      </c>
      <c r="M174" s="21"/>
      <c r="N174" t="s">
        <v>236</v>
      </c>
      <c r="O174" s="283"/>
    </row>
    <row r="175" spans="3:15" ht="15.75" customHeight="1">
      <c r="C175" s="9" t="s">
        <v>772</v>
      </c>
      <c r="H175" s="406">
        <f>IF(VLOOKUP(GAS!N175,'GAS ASCII'!$B$2:$C$200,2)&gt;=500000,VLOOKUP(GAS!N175,'GAS ASCII'!$B$2:$C$200,2)/1000000,IF(VLOOKUP(GAS!N175,'GAS ASCII'!$B$2:$C$200,2)&lt;=0,"……………….","*"))</f>
        <v>357.38</v>
      </c>
      <c r="I175" s="21"/>
      <c r="J175" s="406" t="str">
        <f>IF(VLOOKUP(GAS!N175,'GAS ASCII'!$B$2:$D$200,3)&gt;=500000,VLOOKUP(GAS!N175,'GAS ASCII'!$B$2:$D$200,3)/-1000000,IF(VLOOKUP(GAS!N175,'GAS ASCII'!$B$2:$D$200,3)&lt;=0,"……………….","*"))</f>
        <v>……………….</v>
      </c>
      <c r="K175" s="27"/>
      <c r="L175" s="406">
        <f>IF(VLOOKUP(GAS!N175,'GAS ASCII'!$B$2:$E$200,4)&gt;=500000,VLOOKUP(GAS!N175,'GAS ASCII'!$B$2:$E$200,4)/1000000,IF(VLOOKUP(GAS!N175,'GAS ASCII'!$B$2:$E$200,4)&lt;=0,"……………….","*"))</f>
        <v>357.38</v>
      </c>
      <c r="M175" s="21"/>
      <c r="N175" t="s">
        <v>913</v>
      </c>
      <c r="O175" s="283"/>
    </row>
    <row r="176" spans="3:15" ht="15.75" customHeight="1">
      <c r="C176" s="9" t="s">
        <v>1143</v>
      </c>
      <c r="H176" s="406">
        <f>IF(VLOOKUP(GAS!N176,'GAS ASCII'!$B$2:$C$200,2)&gt;=500000,VLOOKUP(GAS!N176,'GAS ASCII'!$B$2:$C$200,2)/1000000,IF(VLOOKUP(GAS!N176,'GAS ASCII'!$B$2:$C$200,2)&lt;=0,"……………….","*"))</f>
        <v>52.255</v>
      </c>
      <c r="I176" s="21"/>
      <c r="J176" s="406" t="str">
        <f>IF(VLOOKUP(GAS!N176,'GAS ASCII'!$B$2:$D$200,3)&gt;=500000,VLOOKUP(GAS!N176,'GAS ASCII'!$B$2:$D$200,3)/-1000000,IF(VLOOKUP(GAS!N176,'GAS ASCII'!$B$2:$D$200,3)&lt;=0,"……………….","*"))</f>
        <v>……………….</v>
      </c>
      <c r="K176" s="27"/>
      <c r="L176" s="406">
        <f>IF(VLOOKUP(GAS!N176,'GAS ASCII'!$B$2:$E$200,4)&gt;=500000,VLOOKUP(GAS!N176,'GAS ASCII'!$B$2:$E$200,4)/1000000,IF(VLOOKUP(GAS!N176,'GAS ASCII'!$B$2:$E$200,4)&lt;=0,"……………….","*"))</f>
        <v>52.255</v>
      </c>
      <c r="M176" s="21"/>
      <c r="N176" t="s">
        <v>919</v>
      </c>
      <c r="O176" s="283"/>
    </row>
    <row r="177" spans="3:15" ht="15.75" customHeight="1">
      <c r="C177" s="9" t="s">
        <v>886</v>
      </c>
      <c r="H177" s="406"/>
      <c r="I177" s="21"/>
      <c r="J177" s="406"/>
      <c r="K177" s="21"/>
      <c r="L177" s="406"/>
      <c r="M177" s="21"/>
      <c r="O177" s="283"/>
    </row>
    <row r="178" spans="3:15" ht="15.75" customHeight="1">
      <c r="C178" s="9" t="s">
        <v>1144</v>
      </c>
      <c r="H178" s="406">
        <f>IF(VLOOKUP(GAS!N178,'GAS ASCII'!$B$2:$C$200,2)&gt;=500000,VLOOKUP(GAS!N178,'GAS ASCII'!$B$2:$C$200,2)/1000000,IF(VLOOKUP(GAS!N178,'GAS ASCII'!$B$2:$C$200,2)&lt;=0,"……………….","*"))</f>
        <v>161.614</v>
      </c>
      <c r="I178" s="21"/>
      <c r="J178" s="406" t="str">
        <f>IF(VLOOKUP(GAS!N178,'GAS ASCII'!$B$2:$D$200,3)&gt;=500000,VLOOKUP(GAS!N178,'GAS ASCII'!$B$2:$D$200,3)/-1000000,IF(VLOOKUP(GAS!N178,'GAS ASCII'!$B$2:$D$200,3)&lt;=0,"……………….","*"))</f>
        <v>……………….</v>
      </c>
      <c r="K178" s="27"/>
      <c r="L178" s="406">
        <f>IF(VLOOKUP(GAS!N178,'GAS ASCII'!$B$2:$E$200,4)&gt;=500000,VLOOKUP(GAS!N178,'GAS ASCII'!$B$2:$E$200,4)/1000000,IF(VLOOKUP(GAS!N178,'GAS ASCII'!$B$2:$E$200,4)&lt;=0,"……………….","*"))</f>
        <v>161.614</v>
      </c>
      <c r="M178" s="21"/>
      <c r="N178" t="s">
        <v>921</v>
      </c>
      <c r="O178" s="283"/>
    </row>
    <row r="179" spans="3:15" ht="15.75" customHeight="1">
      <c r="C179" s="9" t="s">
        <v>876</v>
      </c>
      <c r="H179" s="406">
        <f>IF(VLOOKUP(GAS!N179,'GAS ASCII'!$B$2:$C$200,2)&gt;=500000,VLOOKUP(GAS!N179,'GAS ASCII'!$B$2:$C$200,2)/1000000,IF(VLOOKUP(GAS!N179,'GAS ASCII'!$B$2:$C$200,2)&lt;=0,"……………….","*"))</f>
        <v>30912.237</v>
      </c>
      <c r="I179" s="21"/>
      <c r="J179" s="406">
        <f>IF(VLOOKUP(GAS!N179,'GAS ASCII'!$B$2:$D$200,3)&gt;=500000,VLOOKUP(GAS!N179,'GAS ASCII'!$B$2:$D$200,3)/-1000000,IF(VLOOKUP(GAS!N179,'GAS ASCII'!$B$2:$D$200,3)&lt;=0,"……………….","*"))</f>
        <v>-3328.661</v>
      </c>
      <c r="K179" s="21"/>
      <c r="L179" s="406">
        <f>IF(VLOOKUP(GAS!N179,'GAS ASCII'!$B$2:$E$200,4)&gt;=500000,VLOOKUP(GAS!N179,'GAS ASCII'!$B$2:$E$200,4)/1000000,IF(VLOOKUP(GAS!N179,'GAS ASCII'!$B$2:$E$200,4)&lt;=0,"……………….","*"))</f>
        <v>27583.576</v>
      </c>
      <c r="M179" s="21"/>
      <c r="N179" t="s">
        <v>923</v>
      </c>
      <c r="O179" s="283"/>
    </row>
    <row r="180" spans="8:15" ht="15.75" customHeight="1">
      <c r="H180" s="406"/>
      <c r="I180" s="21"/>
      <c r="J180" s="406"/>
      <c r="K180" s="21"/>
      <c r="L180" s="406"/>
      <c r="M180" s="21"/>
      <c r="O180" s="283"/>
    </row>
    <row r="181" spans="3:15" ht="15.75" customHeight="1">
      <c r="C181" s="9" t="s">
        <v>1198</v>
      </c>
      <c r="H181" s="406">
        <f>IF(VLOOKUP(GAS!N181,'GAS ASCII'!$B$2:$C$200,2)&gt;=500000,VLOOKUP(GAS!N181,'GAS ASCII'!$B$2:$C$200,2)/1000000,IF(VLOOKUP(GAS!N181,'GAS ASCII'!$B$2:$C$200,2)&lt;=0,"……………….","*"))</f>
        <v>895.517</v>
      </c>
      <c r="I181" s="21"/>
      <c r="J181" s="406" t="str">
        <f>IF(VLOOKUP(GAS!N181,'GAS ASCII'!$B$2:$D$200,3)&gt;=500000,VLOOKUP(GAS!N181,'GAS ASCII'!$B$2:$D$200,3)/-1000000,IF(VLOOKUP(GAS!N181,'GAS ASCII'!$B$2:$D$200,3)&lt;=0,"……………….","*"))</f>
        <v>*</v>
      </c>
      <c r="K181" s="3"/>
      <c r="L181" s="406">
        <f>IF(VLOOKUP(GAS!N181,'GAS ASCII'!$B$2:$E$200,4)&gt;=500000,VLOOKUP(GAS!N181,'GAS ASCII'!$B$2:$E$200,4)/1000000,IF(VLOOKUP(GAS!N181,'GAS ASCII'!$B$2:$E$200,4)&lt;=0,"……………….","*"))</f>
        <v>895.171</v>
      </c>
      <c r="M181" s="21"/>
      <c r="N181" t="s">
        <v>925</v>
      </c>
      <c r="O181" s="283"/>
    </row>
    <row r="182" spans="3:15" ht="15.75" customHeight="1">
      <c r="C182" s="9" t="s">
        <v>1220</v>
      </c>
      <c r="H182" s="406">
        <f>IF(VLOOKUP(GAS!N182,'GAS ASCII'!$B$2:$C$200,2)&gt;=500000,VLOOKUP(GAS!N182,'GAS ASCII'!$B$2:$C$200,2)/1000000,IF(VLOOKUP(GAS!N182,'GAS ASCII'!$B$2:$C$200,2)&lt;=0,"……………….","*"))</f>
        <v>1.602</v>
      </c>
      <c r="I182" s="21"/>
      <c r="J182" s="406" t="str">
        <f>IF(VLOOKUP(GAS!N182,'GAS ASCII'!$B$2:$D$200,3)&gt;=500000,VLOOKUP(GAS!N182,'GAS ASCII'!$B$2:$D$200,3)/-1000000,IF(VLOOKUP(GAS!N182,'GAS ASCII'!$B$2:$D$200,3)&lt;=0,"……………….","*"))</f>
        <v>……………….</v>
      </c>
      <c r="K182" s="3"/>
      <c r="L182" s="406">
        <f>IF(VLOOKUP(GAS!N182,'GAS ASCII'!$B$2:$E$200,4)&gt;=500000,VLOOKUP(GAS!N182,'GAS ASCII'!$B$2:$E$200,4)/1000000,IF(VLOOKUP(GAS!N182,'GAS ASCII'!$B$2:$E$200,4)&lt;=0,"……………….","*"))</f>
        <v>1.602</v>
      </c>
      <c r="M182" s="21"/>
      <c r="N182" t="s">
        <v>1212</v>
      </c>
      <c r="O182" s="283"/>
    </row>
    <row r="183" spans="3:15" ht="15.75" customHeight="1">
      <c r="C183" s="9" t="s">
        <v>376</v>
      </c>
      <c r="H183" s="406" t="str">
        <f>IF(VLOOKUP(GAS!N183,'GAS ASCII'!$B$2:$C$200,2)&gt;=500000,VLOOKUP(GAS!N183,'GAS ASCII'!$B$2:$C$200,2)/1000000,IF(VLOOKUP(GAS!N183,'GAS ASCII'!$B$2:$C$200,2)&lt;=0,"……………….","*"))</f>
        <v>*</v>
      </c>
      <c r="I183" s="21"/>
      <c r="J183" s="406" t="str">
        <f>IF(VLOOKUP(GAS!N183,'GAS ASCII'!$B$2:$D$200,3)&gt;=500000,VLOOKUP(GAS!N183,'GAS ASCII'!$B$2:$D$200,3)/-1000000,IF(VLOOKUP(GAS!N183,'GAS ASCII'!$B$2:$D$200,3)&lt;=0,"……………….","*"))</f>
        <v>……………….</v>
      </c>
      <c r="K183" s="27"/>
      <c r="L183" s="406" t="str">
        <f>IF(VLOOKUP(GAS!N183,'GAS ASCII'!$B$2:$E$200,4)&gt;=500000,VLOOKUP(GAS!N183,'GAS ASCII'!$B$2:$E$200,4)/1000000,IF(VLOOKUP(GAS!N183,'GAS ASCII'!$B$2:$E$200,4)&lt;=0,"……………….","*"))</f>
        <v>*</v>
      </c>
      <c r="M183" s="21"/>
      <c r="N183" t="s">
        <v>927</v>
      </c>
      <c r="O183" s="283"/>
    </row>
    <row r="184" spans="3:15" ht="15.75" customHeight="1">
      <c r="C184" s="9" t="s">
        <v>394</v>
      </c>
      <c r="H184" s="406">
        <f>IF(VLOOKUP(GAS!N184,'GAS ASCII'!$B$2:$C$200,2)&gt;=500000,VLOOKUP(GAS!N184,'GAS ASCII'!$B$2:$C$200,2)/1000000,IF(VLOOKUP(GAS!N184,'GAS ASCII'!$B$2:$C$200,2)&lt;=0,"……………….","*"))</f>
        <v>17.199</v>
      </c>
      <c r="I184" s="21"/>
      <c r="J184" s="406" t="str">
        <f>IF(VLOOKUP(GAS!N184,'GAS ASCII'!$B$2:$D$200,3)&gt;=500000,VLOOKUP(GAS!N184,'GAS ASCII'!$B$2:$D$200,3)/-1000000,IF(VLOOKUP(GAS!N184,'GAS ASCII'!$B$2:$D$200,3)&lt;=0,"……………….","*"))</f>
        <v>……………….</v>
      </c>
      <c r="K184" s="27"/>
      <c r="L184" s="406">
        <f>IF(VLOOKUP(GAS!N184,'GAS ASCII'!$B$2:$E$200,4)&gt;=500000,VLOOKUP(GAS!N184,'GAS ASCII'!$B$2:$E$200,4)/1000000,IF(VLOOKUP(GAS!N184,'GAS ASCII'!$B$2:$E$200,4)&lt;=0,"……………….","*"))</f>
        <v>17.199</v>
      </c>
      <c r="M184" s="21"/>
      <c r="N184" t="s">
        <v>440</v>
      </c>
      <c r="O184" s="283"/>
    </row>
    <row r="185" spans="3:15" ht="15.75" customHeight="1">
      <c r="C185" s="9" t="s">
        <v>378</v>
      </c>
      <c r="H185" s="406">
        <f>IF(VLOOKUP(GAS!N185,'GAS ASCII'!$B$2:$C$200,2)&gt;=500000,VLOOKUP(GAS!N185,'GAS ASCII'!$B$2:$C$200,2)/1000000,IF(VLOOKUP(GAS!N185,'GAS ASCII'!$B$2:$C$200,2)&lt;=0,"……………….","*"))</f>
        <v>24.48</v>
      </c>
      <c r="I185" s="21"/>
      <c r="J185" s="406" t="str">
        <f>IF(VLOOKUP(GAS!N185,'GAS ASCII'!$B$2:$D$200,3)&gt;=500000,VLOOKUP(GAS!N185,'GAS ASCII'!$B$2:$D$200,3)/-1000000,IF(VLOOKUP(GAS!N185,'GAS ASCII'!$B$2:$D$200,3)&lt;=0,"……………….","*"))</f>
        <v>……………….</v>
      </c>
      <c r="K185" s="27"/>
      <c r="L185" s="406">
        <f>IF(VLOOKUP(GAS!N185,'GAS ASCII'!$B$2:$E$200,4)&gt;=500000,VLOOKUP(GAS!N185,'GAS ASCII'!$B$2:$E$200,4)/1000000,IF(VLOOKUP(GAS!N185,'GAS ASCII'!$B$2:$E$200,4)&lt;=0,"……………….","*"))</f>
        <v>24.48</v>
      </c>
      <c r="M185" s="21"/>
      <c r="N185" t="s">
        <v>929</v>
      </c>
      <c r="O185" s="283"/>
    </row>
    <row r="186" spans="3:15" ht="15.75" customHeight="1">
      <c r="C186" s="9" t="s">
        <v>1146</v>
      </c>
      <c r="H186" s="406">
        <f>IF(VLOOKUP(GAS!N186,'GAS ASCII'!$B$2:$C$200,2)&gt;=500000,VLOOKUP(GAS!N186,'GAS ASCII'!$B$2:$C$200,2)/1000000,IF(VLOOKUP(GAS!N186,'GAS ASCII'!$B$2:$C$200,2)&lt;=0,"……………….","*"))</f>
        <v>5.08</v>
      </c>
      <c r="I186" s="21"/>
      <c r="J186" s="406" t="str">
        <f>IF(VLOOKUP(GAS!N186,'GAS ASCII'!$B$2:$D$200,3)&gt;=500000,VLOOKUP(GAS!N186,'GAS ASCII'!$B$2:$D$200,3)/-1000000,IF(VLOOKUP(GAS!N186,'GAS ASCII'!$B$2:$D$200,3)&lt;=0,"……………….","*"))</f>
        <v>……………….</v>
      </c>
      <c r="K186" s="27"/>
      <c r="L186" s="406">
        <f>IF(VLOOKUP(GAS!N186,'GAS ASCII'!$B$2:$E$200,4)&gt;=500000,VLOOKUP(GAS!N186,'GAS ASCII'!$B$2:$E$200,4)/1000000,IF(VLOOKUP(GAS!N186,'GAS ASCII'!$B$2:$E$200,4)&lt;=0,"……………….","*"))</f>
        <v>5.08</v>
      </c>
      <c r="M186" s="21"/>
      <c r="N186" t="s">
        <v>931</v>
      </c>
      <c r="O186" s="283"/>
    </row>
    <row r="187" spans="3:15" ht="15.75" customHeight="1">
      <c r="C187" s="9" t="s">
        <v>1142</v>
      </c>
      <c r="H187" s="406"/>
      <c r="I187" s="21"/>
      <c r="J187" s="406"/>
      <c r="K187" s="21"/>
      <c r="L187" s="406"/>
      <c r="M187" s="21"/>
      <c r="O187" s="283"/>
    </row>
    <row r="188" spans="3:15" ht="15.75" customHeight="1">
      <c r="C188" s="9" t="s">
        <v>464</v>
      </c>
      <c r="H188" s="406">
        <f>IF(VLOOKUP(GAS!N188,'GAS ASCII'!$B$2:$C$200,2)&gt;=500000,VLOOKUP(GAS!N188,'GAS ASCII'!$B$2:$C$200,2)/1000000,IF(VLOOKUP(GAS!N188,'GAS ASCII'!$B$2:$C$200,2)&lt;=0,"……………….","*"))</f>
        <v>3726.528</v>
      </c>
      <c r="I188" s="21"/>
      <c r="J188" s="406">
        <f>IF(VLOOKUP(GAS!N188,'GAS ASCII'!$B$2:$D$200,3)&gt;=500000,VLOOKUP(GAS!N188,'GAS ASCII'!$B$2:$D$200,3)/-1000000,IF(VLOOKUP(GAS!N188,'GAS ASCII'!$B$2:$D$200,3)&lt;=0,"……………….","*"))</f>
        <v>-43.977</v>
      </c>
      <c r="K188" s="21"/>
      <c r="L188" s="406">
        <f>IF(VLOOKUP(GAS!N188,'GAS ASCII'!$B$2:$E$200,4)&gt;=500000,VLOOKUP(GAS!N188,'GAS ASCII'!$B$2:$E$200,4)/1000000,IF(VLOOKUP(GAS!N188,'GAS ASCII'!$B$2:$E$200,4)&lt;=0,"……………….","*"))</f>
        <v>3682.551</v>
      </c>
      <c r="M188" s="21"/>
      <c r="N188" t="s">
        <v>933</v>
      </c>
      <c r="O188" s="283"/>
    </row>
    <row r="189" spans="3:15" ht="15.75" customHeight="1">
      <c r="C189" s="9"/>
      <c r="H189" s="406"/>
      <c r="I189" s="21"/>
      <c r="J189" s="406"/>
      <c r="K189" s="27"/>
      <c r="L189" s="406"/>
      <c r="M189" s="21"/>
      <c r="O189" s="283"/>
    </row>
    <row r="190" spans="3:15" ht="15.75" customHeight="1">
      <c r="C190" s="9"/>
      <c r="H190" s="430"/>
      <c r="I190" s="21"/>
      <c r="J190" s="430"/>
      <c r="K190" s="27"/>
      <c r="L190" s="430"/>
      <c r="M190" s="21"/>
      <c r="O190" s="283"/>
    </row>
    <row r="191" spans="3:15" ht="15.75" customHeight="1">
      <c r="C191" s="9"/>
      <c r="H191" s="430"/>
      <c r="I191" s="21"/>
      <c r="J191" s="430"/>
      <c r="K191" s="27"/>
      <c r="L191" s="430"/>
      <c r="M191" s="21"/>
      <c r="O191" s="283"/>
    </row>
    <row r="192" spans="1:15" ht="15.75" customHeight="1" thickBot="1">
      <c r="A192" s="100"/>
      <c r="B192" s="100"/>
      <c r="C192" s="102"/>
      <c r="D192" s="100"/>
      <c r="E192" s="100"/>
      <c r="F192" s="100"/>
      <c r="G192" s="100"/>
      <c r="H192" s="413"/>
      <c r="I192" s="103"/>
      <c r="J192" s="413"/>
      <c r="K192" s="104"/>
      <c r="L192" s="413"/>
      <c r="M192" s="103"/>
      <c r="O192" s="283"/>
    </row>
    <row r="193" spans="1:13" ht="16.5" customHeight="1" thickTop="1">
      <c r="A193" s="59"/>
      <c r="B193" s="2" t="str">
        <f>(Marketable!B95)</f>
        <v>TABLE III - DETAIL OF TREASURY SECURITIES OUTSTANDING, MARCH 31, 2004 -- Continued</v>
      </c>
      <c r="C193" s="2"/>
      <c r="D193" s="2"/>
      <c r="E193" s="3"/>
      <c r="F193" s="3"/>
      <c r="G193" s="3"/>
      <c r="H193" s="3"/>
      <c r="I193" s="29"/>
      <c r="J193" s="3"/>
      <c r="K193" s="3"/>
      <c r="L193" s="3"/>
      <c r="M193" s="99">
        <v>9</v>
      </c>
    </row>
    <row r="194" spans="1:13" ht="10.5" customHeight="1" thickBot="1">
      <c r="A194" s="59"/>
      <c r="B194" s="59"/>
      <c r="C194" s="7"/>
      <c r="D194" s="2"/>
      <c r="E194" s="3"/>
      <c r="F194" s="3"/>
      <c r="G194" s="3"/>
      <c r="H194" s="3"/>
      <c r="I194" s="29"/>
      <c r="J194" s="3"/>
      <c r="K194" s="3"/>
      <c r="L194" s="3"/>
      <c r="M194" s="58"/>
    </row>
    <row r="195" spans="1:13" ht="15.75" customHeight="1" thickTop="1">
      <c r="A195" s="32"/>
      <c r="B195" s="32"/>
      <c r="C195" s="32"/>
      <c r="D195" s="32"/>
      <c r="E195" s="32"/>
      <c r="F195" s="32"/>
      <c r="G195" s="32"/>
      <c r="H195" s="26"/>
      <c r="I195" s="32"/>
      <c r="J195" s="32"/>
      <c r="K195" s="32"/>
      <c r="L195" s="32"/>
      <c r="M195" s="32"/>
    </row>
    <row r="196" spans="8:13" ht="15.75" customHeight="1">
      <c r="H196" s="16" t="s">
        <v>337</v>
      </c>
      <c r="I196" s="3"/>
      <c r="J196" s="3"/>
      <c r="K196" s="3"/>
      <c r="L196" s="3"/>
      <c r="M196" s="3"/>
    </row>
    <row r="197" spans="1:13" ht="15.75" customHeight="1">
      <c r="A197" s="3" t="s">
        <v>338</v>
      </c>
      <c r="B197" s="3"/>
      <c r="C197" s="3"/>
      <c r="D197" s="3"/>
      <c r="E197" s="3"/>
      <c r="F197" s="3"/>
      <c r="G197" s="3"/>
      <c r="H197" s="16" t="s">
        <v>1004</v>
      </c>
      <c r="I197" s="3"/>
      <c r="J197" s="3"/>
      <c r="K197" s="3"/>
      <c r="L197" s="3"/>
      <c r="M197" s="3"/>
    </row>
    <row r="198" spans="1:13" ht="16.5" customHeight="1">
      <c r="A198" s="15"/>
      <c r="B198" s="15"/>
      <c r="C198" s="15"/>
      <c r="D198" s="15"/>
      <c r="E198" s="15"/>
      <c r="F198" s="15"/>
      <c r="G198" s="15"/>
      <c r="H198" s="37" t="s">
        <v>342</v>
      </c>
      <c r="I198" s="38"/>
      <c r="J198" s="37" t="s">
        <v>93</v>
      </c>
      <c r="K198" s="38"/>
      <c r="L198" s="37" t="s">
        <v>1007</v>
      </c>
      <c r="M198" s="38"/>
    </row>
    <row r="199" spans="8:12" ht="15.75" customHeight="1">
      <c r="H199" s="14"/>
      <c r="J199" s="14"/>
      <c r="L199" s="14"/>
    </row>
    <row r="200" spans="2:12" ht="18" customHeight="1">
      <c r="B200" s="7" t="s">
        <v>962</v>
      </c>
      <c r="E200" s="43"/>
      <c r="H200" s="14"/>
      <c r="J200" s="14"/>
      <c r="L200" s="14"/>
    </row>
    <row r="201" spans="2:15" ht="18" customHeight="1">
      <c r="B201" s="78" t="s">
        <v>86</v>
      </c>
      <c r="E201" s="43"/>
      <c r="H201" s="14"/>
      <c r="J201" s="14"/>
      <c r="L201" s="14"/>
      <c r="O201" s="283"/>
    </row>
    <row r="202" spans="3:15" ht="15.75" customHeight="1">
      <c r="C202" s="9" t="s">
        <v>854</v>
      </c>
      <c r="H202" s="406">
        <f>IF(VLOOKUP(GAS!N202,'GAS ASCII'!$B$2:$C$200,2)&gt;=500000,VLOOKUP(GAS!N202,'GAS ASCII'!$B$2:$C$200,2)/1000000,IF(VLOOKUP(GAS!N202,'GAS ASCII'!$B$2:$C$200,2)&lt;=0,"……………….","*"))</f>
        <v>73.145</v>
      </c>
      <c r="I202" s="21"/>
      <c r="J202" s="406" t="str">
        <f>IF(VLOOKUP(GAS!N202,'GAS ASCII'!$B$2:$D$200,3)&gt;=500000,VLOOKUP(GAS!N202,'GAS ASCII'!$B$2:$D$200,3)/-1000000,IF(VLOOKUP(GAS!N202,'GAS ASCII'!$B$2:$D$200,3)&lt;=0,"……………….","*"))</f>
        <v>……………….</v>
      </c>
      <c r="K202" s="27"/>
      <c r="L202" s="406">
        <f>IF(VLOOKUP(GAS!N202,'GAS ASCII'!$B$2:$E$200,4)&gt;=500000,VLOOKUP(GAS!N202,'GAS ASCII'!$B$2:$E$200,4)/1000000,IF(VLOOKUP(GAS!N202,'GAS ASCII'!$B$2:$E$200,4)&lt;=0,"……………….","*"))</f>
        <v>73.145</v>
      </c>
      <c r="M202" s="21"/>
      <c r="N202" t="s">
        <v>935</v>
      </c>
      <c r="O202" s="283"/>
    </row>
    <row r="203" spans="3:15" ht="15.75" customHeight="1">
      <c r="C203" s="9" t="s">
        <v>677</v>
      </c>
      <c r="H203" s="406">
        <f>IF(VLOOKUP(GAS!N203,'GAS ASCII'!$B$2:$C$200,2)&gt;=500000,VLOOKUP(GAS!N203,'GAS ASCII'!$B$2:$C$200,2)/1000000,IF(VLOOKUP(GAS!N203,'GAS ASCII'!$B$2:$C$200,2)&lt;=0,"……………….","*"))</f>
        <v>1</v>
      </c>
      <c r="I203" s="21"/>
      <c r="J203" s="406" t="str">
        <f>IF(VLOOKUP(GAS!N203,'GAS ASCII'!$B$2:$D$200,3)&gt;=500000,VLOOKUP(GAS!N203,'GAS ASCII'!$B$2:$D$200,3)/-1000000,IF(VLOOKUP(GAS!N203,'GAS ASCII'!$B$2:$D$200,3)&lt;=0,"……………….","*"))</f>
        <v>……………….</v>
      </c>
      <c r="K203" s="27"/>
      <c r="L203" s="406">
        <f>IF(VLOOKUP(GAS!N203,'GAS ASCII'!$B$2:$E$200,4)&gt;=500000,VLOOKUP(GAS!N203,'GAS ASCII'!$B$2:$E$200,4)/1000000,IF(VLOOKUP(GAS!N203,'GAS ASCII'!$B$2:$E$200,4)&lt;=0,"……………….","*"))</f>
        <v>1</v>
      </c>
      <c r="M203" s="21"/>
      <c r="N203" t="s">
        <v>937</v>
      </c>
      <c r="O203" s="283"/>
    </row>
    <row r="204" spans="3:15" ht="15.75" customHeight="1">
      <c r="C204" s="9" t="s">
        <v>492</v>
      </c>
      <c r="H204" s="406" t="str">
        <f>IF(VLOOKUP(GAS!N204,'GAS ASCII'!$B$2:$C$200,2)&gt;=500000,VLOOKUP(GAS!N204,'GAS ASCII'!$B$2:$C$200,2)/1000000,IF(VLOOKUP(GAS!N204,'GAS ASCII'!$B$2:$C$200,2)&lt;=0,"……………….","*"))</f>
        <v>*</v>
      </c>
      <c r="I204" s="21"/>
      <c r="J204" s="406" t="str">
        <f>IF(VLOOKUP(GAS!N204,'GAS ASCII'!$B$2:$D$200,3)&gt;=500000,VLOOKUP(GAS!N204,'GAS ASCII'!$B$2:$D$200,3)/-1000000,IF(VLOOKUP(GAS!N204,'GAS ASCII'!$B$2:$D$200,3)&lt;=0,"……………….","*"))</f>
        <v>……………….</v>
      </c>
      <c r="K204" s="27"/>
      <c r="L204" s="406" t="str">
        <f>IF(VLOOKUP(GAS!N204,'GAS ASCII'!$B$2:$E$200,4)&gt;=500000,VLOOKUP(GAS!N204,'GAS ASCII'!$B$2:$E$200,4)/1000000,IF(VLOOKUP(GAS!N204,'GAS ASCII'!$B$2:$E$200,4)&lt;=0,"……………….","*"))</f>
        <v>*</v>
      </c>
      <c r="M204" s="21"/>
      <c r="N204" t="s">
        <v>939</v>
      </c>
      <c r="O204" s="283"/>
    </row>
    <row r="205" spans="3:15" ht="15.75" customHeight="1">
      <c r="C205" s="9" t="s">
        <v>855</v>
      </c>
      <c r="H205" s="406">
        <f>IF(VLOOKUP(GAS!N205,'GAS ASCII'!$B$2:$C$200,2)&gt;=500000,VLOOKUP(GAS!N205,'GAS ASCII'!$B$2:$C$200,2)/1000000,IF(VLOOKUP(GAS!N205,'GAS ASCII'!$B$2:$C$200,2)&lt;=0,"……………….","*"))</f>
        <v>814.601</v>
      </c>
      <c r="I205" s="21"/>
      <c r="J205" s="406" t="str">
        <f>IF(VLOOKUP(GAS!N205,'GAS ASCII'!$B$2:$D$200,3)&gt;=500000,VLOOKUP(GAS!N205,'GAS ASCII'!$B$2:$D$200,3)/-1000000,IF(VLOOKUP(GAS!N205,'GAS ASCII'!$B$2:$D$200,3)&lt;=0,"……………….","*"))</f>
        <v>*</v>
      </c>
      <c r="K205" s="3"/>
      <c r="L205" s="406">
        <f>IF(VLOOKUP(GAS!N205,'GAS ASCII'!$B$2:$E$200,4)&gt;=500000,VLOOKUP(GAS!N205,'GAS ASCII'!$B$2:$E$200,4)/1000000,IF(VLOOKUP(GAS!N205,'GAS ASCII'!$B$2:$E$200,4)&lt;=0,"……………….","*"))</f>
        <v>814.534</v>
      </c>
      <c r="M205" s="21"/>
      <c r="N205" t="s">
        <v>941</v>
      </c>
      <c r="O205" s="283"/>
    </row>
    <row r="206" spans="3:15" ht="15.75" customHeight="1">
      <c r="C206" s="9" t="s">
        <v>865</v>
      </c>
      <c r="H206" s="406">
        <f>IF(VLOOKUP(GAS!N206,'GAS ASCII'!$B$2:$C$200,2)&gt;=500000,VLOOKUP(GAS!N206,'GAS ASCII'!$B$2:$C$200,2)/1000000,IF(VLOOKUP(GAS!N206,'GAS ASCII'!$B$2:$C$200,2)&lt;=0,"……………….","*"))</f>
        <v>22170.317725830002</v>
      </c>
      <c r="I206" s="21"/>
      <c r="J206" s="406">
        <f>IF(VLOOKUP(GAS!N206,'GAS ASCII'!$B$2:$D$200,3)&gt;=500000,VLOOKUP(GAS!N206,'GAS ASCII'!$B$2:$D$200,3)/-1000000,IF(VLOOKUP(GAS!N206,'GAS ASCII'!$B$2:$D$200,3)&lt;=0,"……………….","*"))</f>
        <v>-9286.855</v>
      </c>
      <c r="K206" s="21"/>
      <c r="L206" s="406">
        <f>IF(VLOOKUP(GAS!N206,'GAS ASCII'!$B$2:$E$200,4)&gt;=500000,VLOOKUP(GAS!N206,'GAS ASCII'!$B$2:$E$200,4)/1000000,IF(VLOOKUP(GAS!N206,'GAS ASCII'!$B$2:$E$200,4)&lt;=0,"……………….","*"))</f>
        <v>12883.46272583</v>
      </c>
      <c r="M206" s="21"/>
      <c r="N206" t="s">
        <v>943</v>
      </c>
      <c r="O206" s="283"/>
    </row>
    <row r="207" spans="3:15" ht="15.75" customHeight="1">
      <c r="C207" s="9" t="s">
        <v>791</v>
      </c>
      <c r="H207" s="406">
        <f>IF(VLOOKUP(GAS!N207,'GAS ASCII'!$B$2:$C$200,2)&gt;=500000,VLOOKUP(GAS!N207,'GAS ASCII'!$B$2:$C$200,2)/1000000,IF(VLOOKUP(GAS!N207,'GAS ASCII'!$B$2:$C$200,2)&lt;=0,"……………….","*"))</f>
        <v>6.924681</v>
      </c>
      <c r="I207" s="21"/>
      <c r="J207" s="406" t="str">
        <f>IF(VLOOKUP(GAS!N207,'GAS ASCII'!$B$2:$D$200,3)&gt;=500000,VLOOKUP(GAS!N207,'GAS ASCII'!$B$2:$D$200,3)/-1000000,IF(VLOOKUP(GAS!N207,'GAS ASCII'!$B$2:$D$200,3)&lt;=0,"……………….","*"))</f>
        <v>……………….</v>
      </c>
      <c r="K207" s="27"/>
      <c r="L207" s="406">
        <f>IF(VLOOKUP(GAS!N207,'GAS ASCII'!$B$2:$E$200,4)&gt;=500000,VLOOKUP(GAS!N207,'GAS ASCII'!$B$2:$E$200,4)/1000000,IF(VLOOKUP(GAS!N207,'GAS ASCII'!$B$2:$E$200,4)&lt;=0,"……………….","*"))</f>
        <v>6.924681</v>
      </c>
      <c r="M207" s="21"/>
      <c r="N207" t="s">
        <v>945</v>
      </c>
      <c r="O207" s="283"/>
    </row>
    <row r="208" spans="3:15" ht="15.75" customHeight="1">
      <c r="C208" s="9" t="s">
        <v>472</v>
      </c>
      <c r="H208" s="406">
        <f>IF(VLOOKUP(GAS!N208,'GAS ASCII'!$B$2:$C$200,2)&gt;=500000,VLOOKUP(GAS!N208,'GAS ASCII'!$B$2:$C$200,2)/1000000,IF(VLOOKUP(GAS!N208,'GAS ASCII'!$B$2:$C$200,2)&lt;=0,"……………….","*"))</f>
        <v>553.2</v>
      </c>
      <c r="I208" s="21"/>
      <c r="J208" s="406" t="str">
        <f>IF(VLOOKUP(GAS!N208,'GAS ASCII'!$B$2:$D$200,3)&gt;=500000,VLOOKUP(GAS!N208,'GAS ASCII'!$B$2:$D$200,3)/-1000000,IF(VLOOKUP(GAS!N208,'GAS ASCII'!$B$2:$D$200,3)&lt;=0,"……………….","*"))</f>
        <v>……………….</v>
      </c>
      <c r="K208" s="27"/>
      <c r="L208" s="406">
        <f>IF(VLOOKUP(GAS!N208,'GAS ASCII'!$B$2:$E$200,4)&gt;=500000,VLOOKUP(GAS!N208,'GAS ASCII'!$B$2:$E$200,4)/1000000,IF(VLOOKUP(GAS!N208,'GAS ASCII'!$B$2:$E$200,4)&lt;=0,"……………….","*"))</f>
        <v>553.2</v>
      </c>
      <c r="M208" s="21"/>
      <c r="N208" t="s">
        <v>947</v>
      </c>
      <c r="O208" s="283"/>
    </row>
    <row r="209" spans="3:15" ht="15.75" customHeight="1">
      <c r="C209" s="9" t="s">
        <v>493</v>
      </c>
      <c r="H209" s="406">
        <f>IF(VLOOKUP(GAS!N209,'GAS ASCII'!$B$2:$C$200,2)&gt;=500000,VLOOKUP(GAS!N209,'GAS ASCII'!$B$2:$C$200,2)/1000000,IF(VLOOKUP(GAS!N209,'GAS ASCII'!$B$2:$C$200,2)&lt;=0,"……………….","*"))</f>
        <v>45.682</v>
      </c>
      <c r="I209" s="21"/>
      <c r="J209" s="406" t="str">
        <f>IF(VLOOKUP(GAS!N209,'GAS ASCII'!$B$2:$D$200,3)&gt;=500000,VLOOKUP(GAS!N209,'GAS ASCII'!$B$2:$D$200,3)/-1000000,IF(VLOOKUP(GAS!N209,'GAS ASCII'!$B$2:$D$200,3)&lt;=0,"……………….","*"))</f>
        <v>……………….</v>
      </c>
      <c r="K209" s="27"/>
      <c r="L209" s="406">
        <f>IF(VLOOKUP(GAS!N209,'GAS ASCII'!$B$2:$E$200,4)&gt;=500000,VLOOKUP(GAS!N209,'GAS ASCII'!$B$2:$E$200,4)/1000000,IF(VLOOKUP(GAS!N209,'GAS ASCII'!$B$2:$E$200,4)&lt;=0,"……………….","*"))</f>
        <v>45.682</v>
      </c>
      <c r="M209" s="21"/>
      <c r="N209" t="s">
        <v>949</v>
      </c>
      <c r="O209" s="283"/>
    </row>
    <row r="210" spans="3:15" ht="15.75" customHeight="1">
      <c r="C210" s="9" t="s">
        <v>1017</v>
      </c>
      <c r="H210" s="406" t="str">
        <f>IF(VLOOKUP(GAS!N210,'GAS ASCII'!$B$2:$C$200,2)&gt;=500000,VLOOKUP(GAS!N210,'GAS ASCII'!$B$2:$C$200,2)/1000000,IF(VLOOKUP(GAS!N210,'GAS ASCII'!$B$2:$C$200,2)&lt;=0,"……………….","*"))</f>
        <v>*</v>
      </c>
      <c r="I210" s="21"/>
      <c r="J210" s="406" t="str">
        <f>IF(VLOOKUP(GAS!N210,'GAS ASCII'!$B$2:$D$200,3)&gt;=500000,VLOOKUP(GAS!N210,'GAS ASCII'!$B$2:$D$200,3)/-1000000,IF(VLOOKUP(GAS!N210,'GAS ASCII'!$B$2:$D$200,3)&lt;=0,"……………….","*"))</f>
        <v>……………….</v>
      </c>
      <c r="K210" s="27"/>
      <c r="L210" s="406" t="str">
        <f>IF(VLOOKUP(GAS!N210,'GAS ASCII'!$B$2:$E$200,4)&gt;=500000,VLOOKUP(GAS!N210,'GAS ASCII'!$B$2:$E$200,4)/1000000,IF(VLOOKUP(GAS!N210,'GAS ASCII'!$B$2:$E$200,4)&lt;=0,"……………….","*"))</f>
        <v>*</v>
      </c>
      <c r="M210" s="21"/>
      <c r="N210" t="s">
        <v>951</v>
      </c>
      <c r="O210" s="283"/>
    </row>
    <row r="211" spans="3:15" ht="15.75" customHeight="1">
      <c r="C211" s="9" t="s">
        <v>325</v>
      </c>
      <c r="H211" s="406">
        <f>IF(VLOOKUP(GAS!N211,'GAS ASCII'!$B$2:$C$200,2)&gt;=500000,VLOOKUP(GAS!N211,'GAS ASCII'!$B$2:$C$200,2)/1000000,IF(VLOOKUP(GAS!N211,'GAS ASCII'!$B$2:$C$200,2)&lt;=0,"……………….","*"))</f>
        <v>157</v>
      </c>
      <c r="I211" s="21"/>
      <c r="J211" s="406" t="str">
        <f>IF(VLOOKUP(GAS!N211,'GAS ASCII'!$B$2:$D$200,3)&gt;=500000,VLOOKUP(GAS!N211,'GAS ASCII'!$B$2:$D$200,3)/-1000000,IF(VLOOKUP(GAS!N211,'GAS ASCII'!$B$2:$D$200,3)&lt;=0,"……………….","*"))</f>
        <v>……………….</v>
      </c>
      <c r="K211" s="27"/>
      <c r="L211" s="406">
        <f>IF(VLOOKUP(GAS!N211,'GAS ASCII'!$B$2:$E$200,4)&gt;=500000,VLOOKUP(GAS!N211,'GAS ASCII'!$B$2:$E$200,4)/1000000,IF(VLOOKUP(GAS!N211,'GAS ASCII'!$B$2:$E$200,4)&lt;=0,"……………….","*"))</f>
        <v>157</v>
      </c>
      <c r="M211" s="21"/>
      <c r="N211" t="s">
        <v>953</v>
      </c>
      <c r="O211" s="283"/>
    </row>
    <row r="212" spans="3:15" ht="15.75" customHeight="1">
      <c r="C212" s="9" t="s">
        <v>978</v>
      </c>
      <c r="H212" s="406">
        <f>IF(VLOOKUP(GAS!N212,'GAS ASCII'!$B$2:$C$200,2)&gt;=500000,VLOOKUP(GAS!N212,'GAS ASCII'!$B$2:$C$200,2)/1000000,IF(VLOOKUP(GAS!N212,'GAS ASCII'!$B$2:$C$200,2)&lt;=0,"……………….","*"))</f>
        <v>186.23415702</v>
      </c>
      <c r="I212" s="21"/>
      <c r="J212" s="406" t="str">
        <f>IF(VLOOKUP(GAS!N212,'GAS ASCII'!$B$2:$D$200,3)&gt;=500000,VLOOKUP(GAS!N212,'GAS ASCII'!$B$2:$D$200,3)/-1000000,IF(VLOOKUP(GAS!N212,'GAS ASCII'!$B$2:$D$200,3)&lt;=0,"……………….","*"))</f>
        <v>……………….</v>
      </c>
      <c r="K212" s="27"/>
      <c r="L212" s="406">
        <f>IF(VLOOKUP(GAS!N212,'GAS ASCII'!$B$2:$E$200,4)&gt;=500000,VLOOKUP(GAS!N212,'GAS ASCII'!$B$2:$E$200,4)/1000000,IF(VLOOKUP(GAS!N212,'GAS ASCII'!$B$2:$E$200,4)&lt;=0,"……………….","*"))</f>
        <v>186.23415702</v>
      </c>
      <c r="M212" s="21"/>
      <c r="N212" t="s">
        <v>426</v>
      </c>
      <c r="O212" s="283"/>
    </row>
    <row r="213" spans="3:15" ht="15.75" customHeight="1">
      <c r="C213" s="9" t="s">
        <v>1101</v>
      </c>
      <c r="H213" s="406"/>
      <c r="I213" s="21"/>
      <c r="J213" s="406"/>
      <c r="K213" s="27"/>
      <c r="L213" s="406"/>
      <c r="M213" s="21"/>
      <c r="O213" s="283"/>
    </row>
    <row r="214" spans="3:15" ht="15.75" customHeight="1">
      <c r="C214" s="9" t="s">
        <v>494</v>
      </c>
      <c r="H214" s="406">
        <f>IF(VLOOKUP(GAS!N214,'GAS ASCII'!$B$2:$C$200,2)&gt;=500000,VLOOKUP(GAS!N214,'GAS ASCII'!$B$2:$C$200,2)/1000000,IF(VLOOKUP(GAS!N214,'GAS ASCII'!$B$2:$C$200,2)&lt;=0,"……………….","*"))</f>
        <v>2.831</v>
      </c>
      <c r="I214" s="21"/>
      <c r="J214" s="406" t="str">
        <f>IF(VLOOKUP(GAS!N214,'GAS ASCII'!$B$2:$D$200,3)&gt;=500000,VLOOKUP(GAS!N214,'GAS ASCII'!$B$2:$D$200,3)/-1000000,IF(VLOOKUP(GAS!N214,'GAS ASCII'!$B$2:$D$200,3)&lt;=0,"……………….","*"))</f>
        <v>……………….</v>
      </c>
      <c r="K214" s="27"/>
      <c r="L214" s="406">
        <f>IF(VLOOKUP(GAS!N214,'GAS ASCII'!$B$2:$E$200,4)&gt;=500000,VLOOKUP(GAS!N214,'GAS ASCII'!$B$2:$E$200,4)/1000000,IF(VLOOKUP(GAS!N214,'GAS ASCII'!$B$2:$E$200,4)&lt;=0,"……………….","*"))</f>
        <v>2.831</v>
      </c>
      <c r="M214" s="21"/>
      <c r="N214" t="s">
        <v>428</v>
      </c>
      <c r="O214" s="283"/>
    </row>
    <row r="215" spans="3:15" ht="15.75" customHeight="1">
      <c r="C215" s="9"/>
      <c r="H215" s="406"/>
      <c r="I215" s="21"/>
      <c r="J215" s="406"/>
      <c r="K215" s="27"/>
      <c r="L215" s="406"/>
      <c r="M215" s="21"/>
      <c r="O215" s="283"/>
    </row>
    <row r="216" spans="3:15" ht="15.75" customHeight="1">
      <c r="C216" s="9" t="s">
        <v>497</v>
      </c>
      <c r="H216" s="406">
        <f>IF(VLOOKUP(GAS!N216,'GAS ASCII'!$B$2:$C$200,2)&gt;=500000,VLOOKUP(GAS!N216,'GAS ASCII'!$B$2:$C$200,2)/1000000,IF(VLOOKUP(GAS!N216,'GAS ASCII'!$B$2:$C$200,2)&lt;=0,"……………….","*"))</f>
        <v>787.389</v>
      </c>
      <c r="I216" s="21"/>
      <c r="J216" s="406">
        <f>IF(VLOOKUP(GAS!N216,'GAS ASCII'!$B$2:$D$200,3)&gt;=500000,VLOOKUP(GAS!N216,'GAS ASCII'!$B$2:$D$200,3)/-1000000,IF(VLOOKUP(GAS!N216,'GAS ASCII'!$B$2:$D$200,3)&lt;=0,"……………….","*"))</f>
        <v>-305.079</v>
      </c>
      <c r="K216" s="21"/>
      <c r="L216" s="406">
        <f>IF(VLOOKUP(GAS!N216,'GAS ASCII'!$B$2:$E$200,4)&gt;=500000,VLOOKUP(GAS!N216,'GAS ASCII'!$B$2:$E$200,4)/1000000,IF(VLOOKUP(GAS!N216,'GAS ASCII'!$B$2:$E$200,4)&lt;=0,"……………….","*"))</f>
        <v>482.31</v>
      </c>
      <c r="M216" s="21"/>
      <c r="N216" t="s">
        <v>430</v>
      </c>
      <c r="O216" s="283"/>
    </row>
    <row r="217" spans="3:15" ht="15.75" customHeight="1">
      <c r="C217" s="9" t="s">
        <v>1102</v>
      </c>
      <c r="H217" s="406"/>
      <c r="I217" s="21"/>
      <c r="J217" s="406"/>
      <c r="K217" s="27"/>
      <c r="L217" s="406"/>
      <c r="M217" s="21"/>
      <c r="O217" s="283"/>
    </row>
    <row r="218" spans="3:15" ht="15.75" customHeight="1">
      <c r="C218" s="9" t="s">
        <v>1149</v>
      </c>
      <c r="H218" s="406">
        <f>IF(VLOOKUP(GAS!N218,'GAS ASCII'!$B$2:$C$200,2)&gt;=500000,VLOOKUP(GAS!N218,'GAS ASCII'!$B$2:$C$200,2)/1000000,IF(VLOOKUP(GAS!N218,'GAS ASCII'!$B$2:$C$200,2)&lt;=0,"……………….","*"))</f>
        <v>64.983</v>
      </c>
      <c r="I218" s="21"/>
      <c r="J218" s="406" t="str">
        <f>IF(VLOOKUP(GAS!N218,'GAS ASCII'!$B$2:$D$200,3)&gt;=500000,VLOOKUP(GAS!N218,'GAS ASCII'!$B$2:$D$200,3)/-1000000,IF(VLOOKUP(GAS!N218,'GAS ASCII'!$B$2:$D$200,3)&lt;=0,"……………….","*"))</f>
        <v>……………….</v>
      </c>
      <c r="K218" s="27"/>
      <c r="L218" s="406">
        <f>IF(VLOOKUP(GAS!N218,'GAS ASCII'!$B$2:$E$200,4)&gt;=500000,VLOOKUP(GAS!N218,'GAS ASCII'!$B$2:$E$200,4)/1000000,IF(VLOOKUP(GAS!N218,'GAS ASCII'!$B$2:$E$200,4)&lt;=0,"……………….","*"))</f>
        <v>64.983</v>
      </c>
      <c r="M218" s="21"/>
      <c r="N218" t="s">
        <v>432</v>
      </c>
      <c r="O218" s="283"/>
    </row>
    <row r="219" spans="3:15" ht="15.75" customHeight="1">
      <c r="C219" s="9" t="s">
        <v>1103</v>
      </c>
      <c r="H219" s="406"/>
      <c r="I219" s="21"/>
      <c r="J219" s="406"/>
      <c r="K219" s="27"/>
      <c r="L219" s="406"/>
      <c r="M219" s="21"/>
      <c r="O219" s="283"/>
    </row>
    <row r="220" spans="3:15" ht="15.75" customHeight="1">
      <c r="C220" s="9" t="s">
        <v>1150</v>
      </c>
      <c r="H220" s="406">
        <f>IF(VLOOKUP(GAS!N220,'GAS ASCII'!$B$2:$C$200,2)&gt;=500000,VLOOKUP(GAS!N220,'GAS ASCII'!$B$2:$C$200,2)/1000000,IF(VLOOKUP(GAS!N220,'GAS ASCII'!$B$2:$C$200,2)&lt;=0,"……………….","*"))</f>
        <v>3.82</v>
      </c>
      <c r="I220" s="21"/>
      <c r="J220" s="406" t="str">
        <f>IF(VLOOKUP(GAS!N220,'GAS ASCII'!$B$2:$D$200,3)&gt;=500000,VLOOKUP(GAS!N220,'GAS ASCII'!$B$2:$D$200,3)/-1000000,IF(VLOOKUP(GAS!N220,'GAS ASCII'!$B$2:$D$200,3)&lt;=0,"……………….","*"))</f>
        <v>……………….</v>
      </c>
      <c r="K220" s="27"/>
      <c r="L220" s="406">
        <f>IF(VLOOKUP(GAS!N220,'GAS ASCII'!$B$2:$E$200,4)&gt;=500000,VLOOKUP(GAS!N220,'GAS ASCII'!$B$2:$E$200,4)/1000000,IF(VLOOKUP(GAS!N220,'GAS ASCII'!$B$2:$E$200,4)&lt;=0,"……………….","*"))</f>
        <v>3.82</v>
      </c>
      <c r="M220" s="21"/>
      <c r="N220" t="s">
        <v>434</v>
      </c>
      <c r="O220" s="283"/>
    </row>
    <row r="221" spans="3:15" ht="15.75" customHeight="1">
      <c r="C221" s="9" t="s">
        <v>375</v>
      </c>
      <c r="H221" s="406">
        <f>IF(VLOOKUP(GAS!N221,'GAS ASCII'!$B$2:$C$200,2)&gt;=500000,VLOOKUP(GAS!N221,'GAS ASCII'!$B$2:$C$200,2)/1000000,IF(VLOOKUP(GAS!N221,'GAS ASCII'!$B$2:$C$200,2)&lt;=0,"……………….","*"))</f>
        <v>2.51885981</v>
      </c>
      <c r="I221" s="21"/>
      <c r="J221" s="406" t="str">
        <f>IF(VLOOKUP(GAS!N221,'GAS ASCII'!$B$2:$D$200,3)&gt;=500000,VLOOKUP(GAS!N221,'GAS ASCII'!$B$2:$D$200,3)/-1000000,IF(VLOOKUP(GAS!N221,'GAS ASCII'!$B$2:$D$200,3)&lt;=0,"……………….","*"))</f>
        <v>……………….</v>
      </c>
      <c r="K221" s="27"/>
      <c r="L221" s="406">
        <f>IF(VLOOKUP(GAS!N221,'GAS ASCII'!$B$2:$E$200,4)&gt;=500000,VLOOKUP(GAS!N221,'GAS ASCII'!$B$2:$E$200,4)/1000000,IF(VLOOKUP(GAS!N221,'GAS ASCII'!$B$2:$E$200,4)&lt;=0,"……………….","*"))</f>
        <v>2.51885981</v>
      </c>
      <c r="M221" s="21"/>
      <c r="N221" t="s">
        <v>374</v>
      </c>
      <c r="O221" s="283"/>
    </row>
    <row r="222" spans="3:15" ht="15.75" customHeight="1">
      <c r="C222" s="9" t="s">
        <v>87</v>
      </c>
      <c r="H222" s="406"/>
      <c r="I222" s="21"/>
      <c r="J222" s="406"/>
      <c r="K222" s="27"/>
      <c r="L222" s="406"/>
      <c r="M222" s="21"/>
      <c r="O222" s="283"/>
    </row>
    <row r="223" spans="3:15" ht="15.75" customHeight="1">
      <c r="C223" s="9" t="s">
        <v>1119</v>
      </c>
      <c r="H223" s="406">
        <f>IF(VLOOKUP(GAS!N223,'GAS ASCII'!$B$2:$C$200,2)&gt;=500000,VLOOKUP(GAS!N223,'GAS ASCII'!$B$2:$C$200,2)/1000000,IF(VLOOKUP(GAS!N223,'GAS ASCII'!$B$2:$C$200,2)&lt;=0,"……………….","*"))</f>
        <v>2.06</v>
      </c>
      <c r="I223" s="21"/>
      <c r="J223" s="406" t="str">
        <f>IF(VLOOKUP(GAS!N223,'GAS ASCII'!$B$2:$D$200,3)&gt;=500000,VLOOKUP(GAS!N223,'GAS ASCII'!$B$2:$D$200,3)/-1000000,IF(VLOOKUP(GAS!N223,'GAS ASCII'!$B$2:$D$200,3)&lt;=0,"……………….","*"))</f>
        <v>……………….</v>
      </c>
      <c r="K223" s="27"/>
      <c r="L223" s="406">
        <f>IF(VLOOKUP(GAS!N223,'GAS ASCII'!$B$2:$E$200,4)&gt;=500000,VLOOKUP(GAS!N223,'GAS ASCII'!$B$2:$E$200,4)/1000000,IF(VLOOKUP(GAS!N223,'GAS ASCII'!$B$2:$E$200,4)&lt;=0,"……………….","*"))</f>
        <v>2.06</v>
      </c>
      <c r="M223" s="21"/>
      <c r="N223" t="s">
        <v>436</v>
      </c>
      <c r="O223" s="283"/>
    </row>
    <row r="224" spans="3:15" ht="15.75" customHeight="1">
      <c r="C224" s="9" t="s">
        <v>979</v>
      </c>
      <c r="H224" s="406">
        <f>IF(VLOOKUP(GAS!N224,'GAS ASCII'!$B$2:$C$200,2)&gt;=500000,VLOOKUP(GAS!N224,'GAS ASCII'!$B$2:$C$200,2)/1000000,IF(VLOOKUP(GAS!N224,'GAS ASCII'!$B$2:$C$200,2)&lt;=0,"……………….","*"))</f>
        <v>19.436</v>
      </c>
      <c r="I224" s="21"/>
      <c r="J224" s="406">
        <f>IF(VLOOKUP(GAS!N224,'GAS ASCII'!$B$2:$D$200,3)&gt;=500000,VLOOKUP(GAS!N224,'GAS ASCII'!$B$2:$D$200,3)/-1000000,IF(VLOOKUP(GAS!N224,'GAS ASCII'!$B$2:$D$200,3)&lt;=0,"……………….","*"))</f>
        <v>-0.992</v>
      </c>
      <c r="K224" s="27"/>
      <c r="L224" s="406">
        <f>IF(VLOOKUP(GAS!N224,'GAS ASCII'!$B$2:$E$200,4)&gt;=500000,VLOOKUP(GAS!N224,'GAS ASCII'!$B$2:$E$200,4)/1000000,IF(VLOOKUP(GAS!N224,'GAS ASCII'!$B$2:$E$200,4)&lt;=0,"……………….","*"))</f>
        <v>18.444</v>
      </c>
      <c r="M224" s="21"/>
      <c r="N224" t="s">
        <v>438</v>
      </c>
      <c r="O224" s="283"/>
    </row>
    <row r="225" spans="3:15" ht="15.75" customHeight="1">
      <c r="C225" s="9"/>
      <c r="H225" s="406"/>
      <c r="I225" s="21"/>
      <c r="J225" s="406"/>
      <c r="K225" s="27"/>
      <c r="L225" s="406"/>
      <c r="M225" s="21"/>
      <c r="O225" s="283"/>
    </row>
    <row r="226" spans="3:15" ht="15.75" customHeight="1">
      <c r="C226" s="9" t="s">
        <v>1140</v>
      </c>
      <c r="H226" s="406">
        <f>IF(VLOOKUP(GAS!N226,'GAS ASCII'!$B$2:$C$200,2)&gt;=500000,VLOOKUP(GAS!N226,'GAS ASCII'!$B$2:$C$200,2)/1000000,IF(VLOOKUP(GAS!N226,'GAS ASCII'!$B$2:$C$200,2)&lt;=0,"……………….","*"))</f>
        <v>31.026</v>
      </c>
      <c r="I226" s="21"/>
      <c r="J226" s="406" t="str">
        <f>IF(VLOOKUP(GAS!N226,'GAS ASCII'!$B$2:$D$200,3)&gt;=500000,VLOOKUP(GAS!N226,'GAS ASCII'!$B$2:$D$200,3)/-1000000,IF(VLOOKUP(GAS!N226,'GAS ASCII'!$B$2:$D$200,3)&lt;=0,"……………….","*"))</f>
        <v>……………….</v>
      </c>
      <c r="K226" s="27"/>
      <c r="L226" s="406">
        <f>IF(VLOOKUP(GAS!N226,'GAS ASCII'!$B$2:$E$200,4)&gt;=500000,VLOOKUP(GAS!N226,'GAS ASCII'!$B$2:$E$200,4)/1000000,IF(VLOOKUP(GAS!N226,'GAS ASCII'!$B$2:$E$200,4)&lt;=0,"……………….","*"))</f>
        <v>31.026</v>
      </c>
      <c r="M226" s="21"/>
      <c r="N226" t="s">
        <v>1134</v>
      </c>
      <c r="O226" s="283"/>
    </row>
    <row r="227" spans="3:15" ht="15.75" customHeight="1">
      <c r="C227" s="9" t="s">
        <v>1104</v>
      </c>
      <c r="H227" s="406">
        <f>IF(VLOOKUP(GAS!N227,'GAS ASCII'!$B$2:$C$200,2)&gt;=500000,VLOOKUP(GAS!N227,'GAS ASCII'!$B$2:$C$200,2)/1000000,IF(VLOOKUP(GAS!N227,'GAS ASCII'!$B$2:$C$200,2)&lt;=0,"……………….","*"))</f>
        <v>12255.0194</v>
      </c>
      <c r="I227" s="21"/>
      <c r="J227" s="406">
        <f>IF(VLOOKUP(GAS!N227,'GAS ASCII'!$B$2:$D$200,3)&gt;=500000,VLOOKUP(GAS!N227,'GAS ASCII'!$B$2:$D$200,3)/-1000000,IF(VLOOKUP(GAS!N227,'GAS ASCII'!$B$2:$D$200,3)&lt;=0,"……………….","*"))</f>
        <v>-660</v>
      </c>
      <c r="K227" s="27"/>
      <c r="L227" s="406">
        <f>IF(VLOOKUP(GAS!N227,'GAS ASCII'!$B$2:$E$200,4)&gt;=500000,VLOOKUP(GAS!N227,'GAS ASCII'!$B$2:$E$200,4)/1000000,IF(VLOOKUP(GAS!N227,'GAS ASCII'!$B$2:$E$200,4)&lt;=0,"……………….","*"))</f>
        <v>11595.0194</v>
      </c>
      <c r="M227" s="21"/>
      <c r="N227" t="s">
        <v>423</v>
      </c>
      <c r="O227" s="283"/>
    </row>
    <row r="228" spans="3:15" ht="15.75" customHeight="1">
      <c r="C228" s="9" t="s">
        <v>1105</v>
      </c>
      <c r="H228" s="406"/>
      <c r="I228" s="21"/>
      <c r="J228" s="406"/>
      <c r="K228" s="21"/>
      <c r="L228" s="406"/>
      <c r="M228" s="21"/>
      <c r="O228" s="283"/>
    </row>
    <row r="229" spans="3:15" ht="15.75" customHeight="1">
      <c r="C229" s="9" t="s">
        <v>1152</v>
      </c>
      <c r="H229" s="406">
        <f>IF(VLOOKUP(GAS!N229,'GAS ASCII'!$B$2:$C$200,2)&gt;=500000,VLOOKUP(GAS!N229,'GAS ASCII'!$B$2:$C$200,2)/1000000,IF(VLOOKUP(GAS!N229,'GAS ASCII'!$B$2:$C$200,2)&lt;=0,"……………….","*"))</f>
        <v>13.445</v>
      </c>
      <c r="I229" s="21"/>
      <c r="J229" s="406" t="str">
        <f>IF(VLOOKUP(GAS!N229,'GAS ASCII'!$B$2:$D$200,3)&gt;=500000,VLOOKUP(GAS!N229,'GAS ASCII'!$B$2:$D$200,3)/-1000000,IF(VLOOKUP(GAS!N229,'GAS ASCII'!$B$2:$D$200,3)&lt;=0,"……………….","*"))</f>
        <v>……………….</v>
      </c>
      <c r="K229" s="27"/>
      <c r="L229" s="406">
        <f>IF(VLOOKUP(GAS!N229,'GAS ASCII'!$B$2:$E$200,4)&gt;=500000,VLOOKUP(GAS!N229,'GAS ASCII'!$B$2:$E$200,4)/1000000,IF(VLOOKUP(GAS!N229,'GAS ASCII'!$B$2:$E$200,4)&lt;=0,"……………….","*"))</f>
        <v>13.445</v>
      </c>
      <c r="M229" s="21"/>
      <c r="N229" t="s">
        <v>517</v>
      </c>
      <c r="O229" s="283"/>
    </row>
    <row r="230" spans="3:15" ht="15.75" customHeight="1">
      <c r="C230" s="9" t="s">
        <v>557</v>
      </c>
      <c r="H230" s="406">
        <f>IF(VLOOKUP(GAS!N230,'GAS ASCII'!$B$2:$C$200,2)&gt;=500000,VLOOKUP(GAS!N230,'GAS ASCII'!$B$2:$C$200,2)/1000000,IF(VLOOKUP(GAS!N230,'GAS ASCII'!$B$2:$C$200,2)&lt;=0,"……………….","*"))</f>
        <v>335.242</v>
      </c>
      <c r="I230" s="21"/>
      <c r="J230" s="406" t="str">
        <f>IF(VLOOKUP(GAS!N230,'GAS ASCII'!$B$2:$D$200,3)&gt;=500000,VLOOKUP(GAS!N230,'GAS ASCII'!$B$2:$D$200,3)/-1000000,IF(VLOOKUP(GAS!N230,'GAS ASCII'!$B$2:$D$200,3)&lt;=0,"……………….","*"))</f>
        <v>……………….</v>
      </c>
      <c r="K230" s="27"/>
      <c r="L230" s="406">
        <f>IF(VLOOKUP(GAS!N230,'GAS ASCII'!$B$2:$E$200,4)&gt;=500000,VLOOKUP(GAS!N230,'GAS ASCII'!$B$2:$E$200,4)/1000000,IF(VLOOKUP(GAS!N230,'GAS ASCII'!$B$2:$E$200,4)&lt;=0,"……………….","*"))</f>
        <v>335.242</v>
      </c>
      <c r="M230" s="21"/>
      <c r="N230" t="s">
        <v>519</v>
      </c>
      <c r="O230" s="283"/>
    </row>
    <row r="231" spans="3:15" ht="15.75" customHeight="1">
      <c r="C231" s="9" t="s">
        <v>257</v>
      </c>
      <c r="H231" s="406">
        <f>IF(VLOOKUP(GAS!N231,'GAS ASCII'!$B$2:$C$200,2)&gt;=500000,VLOOKUP(GAS!N231,'GAS ASCII'!$B$2:$C$200,2)/1000000,IF(VLOOKUP(GAS!N231,'GAS ASCII'!$B$2:$C$200,2)&lt;=0,"……………….","*"))</f>
        <v>0.502</v>
      </c>
      <c r="I231" s="21"/>
      <c r="J231" s="406" t="str">
        <f>IF(VLOOKUP(GAS!N231,'GAS ASCII'!$B$2:$D$200,3)&gt;=500000,VLOOKUP(GAS!N231,'GAS ASCII'!$B$2:$D$200,3)/-1000000,IF(VLOOKUP(GAS!N231,'GAS ASCII'!$B$2:$D$200,3)&lt;=0,"……………….","*"))</f>
        <v>……………….</v>
      </c>
      <c r="K231" s="27"/>
      <c r="L231" s="406">
        <f>IF(VLOOKUP(GAS!N231,'GAS ASCII'!$B$2:$E$200,4)&gt;=500000,VLOOKUP(GAS!N231,'GAS ASCII'!$B$2:$E$200,4)/1000000,IF(VLOOKUP(GAS!N231,'GAS ASCII'!$B$2:$E$200,4)&lt;=0,"……………….","*"))</f>
        <v>0.502</v>
      </c>
      <c r="M231" s="21"/>
      <c r="N231" t="s">
        <v>521</v>
      </c>
      <c r="O231" s="283"/>
    </row>
    <row r="232" spans="3:15" ht="15.75" customHeight="1">
      <c r="C232" s="9" t="s">
        <v>1106</v>
      </c>
      <c r="H232" s="406">
        <f>IF(VLOOKUP(GAS!N232,'GAS ASCII'!$B$2:$C$200,2)&gt;=500000,VLOOKUP(GAS!N232,'GAS ASCII'!$B$2:$C$200,2)/1000000,IF(VLOOKUP(GAS!N232,'GAS ASCII'!$B$2:$C$200,2)&lt;=0,"……………….","*"))</f>
        <v>7.006</v>
      </c>
      <c r="I232" s="21"/>
      <c r="J232" s="406">
        <f>IF(VLOOKUP(GAS!N232,'GAS ASCII'!$B$2:$D$200,3)&gt;=500000,VLOOKUP(GAS!N232,'GAS ASCII'!$B$2:$D$200,3)/-1000000,IF(VLOOKUP(GAS!N232,'GAS ASCII'!$B$2:$D$200,3)&lt;=0,"……………….","*"))</f>
        <v>-6.564</v>
      </c>
      <c r="K232" s="21"/>
      <c r="L232" s="406" t="str">
        <f>IF(VLOOKUP(GAS!N232,'GAS ASCII'!$B$2:$E$200,4)&gt;=500000,VLOOKUP(GAS!N232,'GAS ASCII'!$B$2:$E$200,4)/1000000,IF(VLOOKUP(GAS!N232,'GAS ASCII'!$B$2:$E$200,4)&lt;=0,"……………….","*"))</f>
        <v>*</v>
      </c>
      <c r="M232" s="21"/>
      <c r="N232" t="s">
        <v>523</v>
      </c>
      <c r="O232" s="283"/>
    </row>
    <row r="233" spans="3:15" ht="15.75" customHeight="1">
      <c r="C233" s="9" t="s">
        <v>774</v>
      </c>
      <c r="H233" s="406">
        <f>IF(VLOOKUP(GAS!N233,'GAS ASCII'!$B$2:$C$200,2)&gt;=500000,VLOOKUP(GAS!N233,'GAS ASCII'!$B$2:$C$200,2)/1000000,IF(VLOOKUP(GAS!N233,'GAS ASCII'!$B$2:$C$200,2)&lt;=0,"……………….","*"))</f>
        <v>1188.668</v>
      </c>
      <c r="I233" s="21"/>
      <c r="J233" s="406">
        <f>IF(VLOOKUP(GAS!N233,'GAS ASCII'!$B$2:$D$200,3)&gt;=500000,VLOOKUP(GAS!N233,'GAS ASCII'!$B$2:$D$200,3)/-1000000,IF(VLOOKUP(GAS!N233,'GAS ASCII'!$B$2:$D$200,3)&lt;=0,"……………….","*"))</f>
        <v>-431.766</v>
      </c>
      <c r="K233" s="21"/>
      <c r="L233" s="406">
        <f>IF(VLOOKUP(GAS!N233,'GAS ASCII'!$B$2:$E$200,4)&gt;=500000,VLOOKUP(GAS!N233,'GAS ASCII'!$B$2:$E$200,4)/1000000,IF(VLOOKUP(GAS!N233,'GAS ASCII'!$B$2:$E$200,4)&lt;=0,"……………….","*"))</f>
        <v>756.902</v>
      </c>
      <c r="M233" s="21"/>
      <c r="N233" t="s">
        <v>525</v>
      </c>
      <c r="O233" s="283"/>
    </row>
    <row r="234" spans="3:15" ht="15.75" customHeight="1">
      <c r="C234" s="9" t="s">
        <v>1153</v>
      </c>
      <c r="H234" s="406">
        <f>IF(VLOOKUP(GAS!N234,'GAS ASCII'!$B$2:$C$200,2)&gt;=500000,VLOOKUP(GAS!N234,'GAS ASCII'!$B$2:$C$200,2)/1000000,IF(VLOOKUP(GAS!N234,'GAS ASCII'!$B$2:$C$200,2)&lt;=0,"……………….","*"))</f>
        <v>63.405</v>
      </c>
      <c r="I234" s="21"/>
      <c r="J234" s="406" t="str">
        <f>IF(VLOOKUP(GAS!N234,'GAS ASCII'!$B$2:$D$200,3)&gt;=500000,VLOOKUP(GAS!N234,'GAS ASCII'!$B$2:$D$200,3)/-1000000,IF(VLOOKUP(GAS!N234,'GAS ASCII'!$B$2:$D$200,3)&lt;=0,"……………….","*"))</f>
        <v>……………….</v>
      </c>
      <c r="K234" s="27"/>
      <c r="L234" s="406">
        <f>IF(VLOOKUP(GAS!N234,'GAS ASCII'!$B$2:$E$200,4)&gt;=500000,VLOOKUP(GAS!N234,'GAS ASCII'!$B$2:$E$200,4)/1000000,IF(VLOOKUP(GAS!N234,'GAS ASCII'!$B$2:$E$200,4)&lt;=0,"……………….","*"))</f>
        <v>63.405</v>
      </c>
      <c r="M234" s="21"/>
      <c r="N234" t="s">
        <v>527</v>
      </c>
      <c r="O234" s="283"/>
    </row>
    <row r="235" spans="3:15" ht="15.75" customHeight="1">
      <c r="C235" s="9" t="s">
        <v>1154</v>
      </c>
      <c r="H235" s="406">
        <f>IF(VLOOKUP(GAS!N235,'GAS ASCII'!$B$2:$C$200,2)&gt;=500000,VLOOKUP(GAS!N235,'GAS ASCII'!$B$2:$C$200,2)/1000000,IF(VLOOKUP(GAS!N235,'GAS ASCII'!$B$2:$C$200,2)&lt;=0,"……………….","*"))</f>
        <v>551.764</v>
      </c>
      <c r="I235" s="21"/>
      <c r="J235" s="406" t="str">
        <f>IF(VLOOKUP(GAS!N235,'GAS ASCII'!$B$2:$D$200,3)&gt;=500000,VLOOKUP(GAS!N235,'GAS ASCII'!$B$2:$D$200,3)/-1000000,IF(VLOOKUP(GAS!N235,'GAS ASCII'!$B$2:$D$200,3)&lt;=0,"……………….","*"))</f>
        <v>……………….</v>
      </c>
      <c r="K235" s="27"/>
      <c r="L235" s="406">
        <f>IF(VLOOKUP(GAS!N235,'GAS ASCII'!$B$2:$E$200,4)&gt;=500000,VLOOKUP(GAS!N235,'GAS ASCII'!$B$2:$E$200,4)/1000000,IF(VLOOKUP(GAS!N235,'GAS ASCII'!$B$2:$E$200,4)&lt;=0,"……………….","*"))</f>
        <v>551.764</v>
      </c>
      <c r="M235" s="21"/>
      <c r="N235" t="s">
        <v>455</v>
      </c>
      <c r="O235" s="283"/>
    </row>
    <row r="236" spans="3:15" ht="15.75" customHeight="1">
      <c r="C236" s="9"/>
      <c r="H236" s="406"/>
      <c r="I236" s="21"/>
      <c r="J236" s="406"/>
      <c r="K236" s="27"/>
      <c r="L236" s="406"/>
      <c r="M236" s="21"/>
      <c r="O236" s="283"/>
    </row>
    <row r="237" spans="3:15" ht="15.75" customHeight="1">
      <c r="C237" s="9" t="s">
        <v>1114</v>
      </c>
      <c r="H237" s="406">
        <f>IF(VLOOKUP(GAS!N237,'GAS ASCII'!$B$2:$C$200,2)&gt;=500000,VLOOKUP(GAS!N237,'GAS ASCII'!$B$2:$C$200,2)/1000000,IF(VLOOKUP(GAS!N237,'GAS ASCII'!$B$2:$C$200,2)&lt;=0,"……………….","*"))</f>
        <v>7.727</v>
      </c>
      <c r="I237" s="21"/>
      <c r="J237" s="406" t="str">
        <f>IF(VLOOKUP(GAS!N237,'GAS ASCII'!$B$2:$D$200,3)&gt;=500000,VLOOKUP(GAS!N237,'GAS ASCII'!$B$2:$D$200,3)/-1000000,IF(VLOOKUP(GAS!N237,'GAS ASCII'!$B$2:$D$200,3)&lt;=0,"……………….","*"))</f>
        <v>……………….</v>
      </c>
      <c r="K237" s="27"/>
      <c r="L237" s="406">
        <f>IF(VLOOKUP(GAS!N237,'GAS ASCII'!$B$2:$E$200,4)&gt;=500000,VLOOKUP(GAS!N237,'GAS ASCII'!$B$2:$E$200,4)/1000000,IF(VLOOKUP(GAS!N237,'GAS ASCII'!$B$2:$E$200,4)&lt;=0,"……………….","*"))</f>
        <v>7.727</v>
      </c>
      <c r="M237" s="21"/>
      <c r="N237" t="s">
        <v>457</v>
      </c>
      <c r="O237" s="283"/>
    </row>
    <row r="238" spans="3:15" ht="15.75" customHeight="1">
      <c r="C238" s="9" t="s">
        <v>1115</v>
      </c>
      <c r="H238" s="406">
        <f>IF(VLOOKUP(GAS!N238,'GAS ASCII'!$B$2:$C$200,2)&gt;=500000,VLOOKUP(GAS!N238,'GAS ASCII'!$B$2:$C$200,2)/1000000,IF(VLOOKUP(GAS!N238,'GAS ASCII'!$B$2:$C$200,2)&lt;=0,"……………….","*"))</f>
        <v>151.28</v>
      </c>
      <c r="I238" s="21"/>
      <c r="J238" s="406" t="str">
        <f>IF(VLOOKUP(GAS!N238,'GAS ASCII'!$B$2:$D$200,3)&gt;=500000,VLOOKUP(GAS!N238,'GAS ASCII'!$B$2:$D$200,3)/-1000000,IF(VLOOKUP(GAS!N238,'GAS ASCII'!$B$2:$D$200,3)&lt;=0,"……………….","*"))</f>
        <v>……………….</v>
      </c>
      <c r="K238" s="27"/>
      <c r="L238" s="406">
        <f>IF(VLOOKUP(GAS!N238,'GAS ASCII'!$B$2:$E$200,4)&gt;=500000,VLOOKUP(GAS!N238,'GAS ASCII'!$B$2:$E$200,4)/1000000,IF(VLOOKUP(GAS!N238,'GAS ASCII'!$B$2:$E$200,4)&lt;=0,"……………….","*"))</f>
        <v>151.28</v>
      </c>
      <c r="M238" s="21"/>
      <c r="N238" t="s">
        <v>459</v>
      </c>
      <c r="O238" s="283"/>
    </row>
    <row r="239" spans="3:15" ht="15.75" customHeight="1">
      <c r="C239" s="9" t="s">
        <v>54</v>
      </c>
      <c r="H239" s="406">
        <f>IF(VLOOKUP(GAS!N239,'GAS ASCII'!$B$2:$C$200,2)&gt;=500000,VLOOKUP(GAS!N239,'GAS ASCII'!$B$2:$C$200,2)/1000000,IF(VLOOKUP(GAS!N239,'GAS ASCII'!$B$2:$C$200,2)&lt;=0,"……………….","*"))</f>
        <v>30.82641169</v>
      </c>
      <c r="I239" s="21"/>
      <c r="J239" s="406" t="str">
        <f>IF(VLOOKUP(GAS!N239,'GAS ASCII'!$B$2:$D$200,3)&gt;=500000,VLOOKUP(GAS!N239,'GAS ASCII'!$B$2:$D$200,3)/-1000000,IF(VLOOKUP(GAS!N239,'GAS ASCII'!$B$2:$D$200,3)&lt;=0,"……………….","*"))</f>
        <v>……………….</v>
      </c>
      <c r="K239" s="27"/>
      <c r="L239" s="406">
        <f>IF(VLOOKUP(GAS!N239,'GAS ASCII'!$B$2:$E$200,4)&gt;=500000,VLOOKUP(GAS!N239,'GAS ASCII'!$B$2:$E$200,4)/1000000,IF(VLOOKUP(GAS!N239,'GAS ASCII'!$B$2:$E$200,4)&lt;=0,"……………….","*"))</f>
        <v>30.82641169</v>
      </c>
      <c r="M239" s="21"/>
      <c r="N239" t="s">
        <v>461</v>
      </c>
      <c r="O239" s="283"/>
    </row>
    <row r="240" spans="3:15" ht="15.75" customHeight="1">
      <c r="C240" s="9" t="s">
        <v>409</v>
      </c>
      <c r="H240" s="406">
        <f>IF(VLOOKUP(GAS!N240,'GAS ASCII'!$B$2:$C$200,2)&gt;=500000,VLOOKUP(GAS!N240,'GAS ASCII'!$B$2:$C$200,2)/1000000,IF(VLOOKUP(GAS!N240,'GAS ASCII'!$B$2:$C$200,2)&lt;=0,"……………….","*"))</f>
        <v>34.53052325</v>
      </c>
      <c r="I240" s="21"/>
      <c r="J240" s="406" t="str">
        <f>IF(VLOOKUP(GAS!N240,'GAS ASCII'!$B$2:$D$200,3)&gt;=500000,VLOOKUP(GAS!N240,'GAS ASCII'!$B$2:$D$200,3)/-1000000,IF(VLOOKUP(GAS!N240,'GAS ASCII'!$B$2:$D$200,3)&lt;=0,"……………….","*"))</f>
        <v>……………….</v>
      </c>
      <c r="K240" s="27"/>
      <c r="L240" s="406">
        <f>IF(VLOOKUP(GAS!N240,'GAS ASCII'!$B$2:$E$200,4)&gt;=500000,VLOOKUP(GAS!N240,'GAS ASCII'!$B$2:$E$200,4)/1000000,IF(VLOOKUP(GAS!N240,'GAS ASCII'!$B$2:$E$200,4)&lt;=0,"……………….","*"))</f>
        <v>34.53052325</v>
      </c>
      <c r="M240" s="21"/>
      <c r="N240" t="s">
        <v>463</v>
      </c>
      <c r="O240" s="283"/>
    </row>
    <row r="241" spans="3:15" ht="15.75" customHeight="1">
      <c r="C241" s="9" t="s">
        <v>581</v>
      </c>
      <c r="H241" s="406">
        <f>IF(VLOOKUP(GAS!N241,'GAS ASCII'!$B$2:$C$200,2)&gt;=500000,VLOOKUP(GAS!N241,'GAS ASCII'!$B$2:$C$200,2)/1000000,IF(VLOOKUP(GAS!N241,'GAS ASCII'!$B$2:$C$200,2)&lt;=0,"……………….","*"))</f>
        <v>65.677</v>
      </c>
      <c r="I241" s="21"/>
      <c r="J241" s="406" t="str">
        <f>IF(VLOOKUP(GAS!N241,'GAS ASCII'!$B$2:$D$200,3)&gt;=500000,VLOOKUP(GAS!N241,'GAS ASCII'!$B$2:$D$200,3)/-1000000,IF(VLOOKUP(GAS!N241,'GAS ASCII'!$B$2:$D$200,3)&lt;=0,"……………….","*"))</f>
        <v>……………….</v>
      </c>
      <c r="K241" s="27"/>
      <c r="L241" s="406">
        <f>IF(VLOOKUP(GAS!N241,'GAS ASCII'!$B$2:$E$200,4)&gt;=500000,VLOOKUP(GAS!N241,'GAS ASCII'!$B$2:$E$200,4)/1000000,IF(VLOOKUP(GAS!N241,'GAS ASCII'!$B$2:$E$200,4)&lt;=0,"……………….","*"))</f>
        <v>65.677</v>
      </c>
      <c r="M241" s="21"/>
      <c r="N241" t="s">
        <v>966</v>
      </c>
      <c r="O241" s="283"/>
    </row>
    <row r="242" spans="3:15" ht="15.75" customHeight="1">
      <c r="C242" s="9"/>
      <c r="H242" s="406"/>
      <c r="I242" s="21"/>
      <c r="J242" s="406"/>
      <c r="K242" s="21"/>
      <c r="L242" s="406"/>
      <c r="M242" s="21"/>
      <c r="O242" s="283"/>
    </row>
    <row r="243" spans="3:15" ht="15.75" customHeight="1">
      <c r="C243" s="9" t="s">
        <v>663</v>
      </c>
      <c r="H243" s="406">
        <f>IF(VLOOKUP(GAS!N243,'GAS ASCII'!$B$2:$C$200,2)&gt;=500000,VLOOKUP(GAS!N243,'GAS ASCII'!$B$2:$C$200,2)/1000000,IF(VLOOKUP(GAS!N243,'GAS ASCII'!$B$2:$C$200,2)&lt;=0,"……………….","*"))</f>
        <v>52921.956</v>
      </c>
      <c r="I243" s="21"/>
      <c r="J243" s="406">
        <f>IF(VLOOKUP(GAS!N243,'GAS ASCII'!$B$2:$D$200,3)&gt;=500000,VLOOKUP(GAS!N243,'GAS ASCII'!$B$2:$D$200,3)/-1000000,IF(VLOOKUP(GAS!N243,'GAS ASCII'!$B$2:$D$200,3)&lt;=0,"……………….","*"))</f>
        <v>-20238.291</v>
      </c>
      <c r="K243" s="184"/>
      <c r="L243" s="406">
        <f>IF(VLOOKUP(GAS!N243,'GAS ASCII'!$B$2:$E$200,4)&gt;=500000,VLOOKUP(GAS!N243,'GAS ASCII'!$B$2:$E$200,4)/1000000,IF(VLOOKUP(GAS!N243,'GAS ASCII'!$B$2:$E$200,4)&lt;=0,"……………….","*"))</f>
        <v>32683.665</v>
      </c>
      <c r="M243" s="21"/>
      <c r="N243" t="s">
        <v>968</v>
      </c>
      <c r="O243" s="283"/>
    </row>
    <row r="244" spans="3:15" ht="15.75" customHeight="1">
      <c r="C244" s="9" t="s">
        <v>742</v>
      </c>
      <c r="H244" s="406">
        <f>IF(VLOOKUP(GAS!N244,'GAS ASCII'!$B$2:$C$200,2)&gt;=500000,VLOOKUP(GAS!N244,'GAS ASCII'!$B$2:$C$200,2)/1000000,IF(VLOOKUP(GAS!N244,'GAS ASCII'!$B$2:$C$200,2)&lt;=0,"……………….","*"))</f>
        <v>1342.004</v>
      </c>
      <c r="I244" s="21"/>
      <c r="J244" s="406" t="str">
        <f>IF(VLOOKUP(GAS!N244,'GAS ASCII'!$B$2:$D$200,3)&gt;=500000,VLOOKUP(GAS!N244,'GAS ASCII'!$B$2:$D$200,3)/-1000000,IF(VLOOKUP(GAS!N244,'GAS ASCII'!$B$2:$D$200,3)&lt;=0,"……………….","*"))</f>
        <v>……………….</v>
      </c>
      <c r="K244" s="27"/>
      <c r="L244" s="406">
        <f>IF(VLOOKUP(GAS!N244,'GAS ASCII'!$B$2:$E$200,4)&gt;=500000,VLOOKUP(GAS!N244,'GAS ASCII'!$B$2:$E$200,4)/1000000,IF(VLOOKUP(GAS!N244,'GAS ASCII'!$B$2:$E$200,4)&lt;=0,"……………….","*"))</f>
        <v>1342.004</v>
      </c>
      <c r="M244" s="21"/>
      <c r="N244" t="s">
        <v>970</v>
      </c>
      <c r="O244" s="283"/>
    </row>
    <row r="245" spans="3:15" ht="15.75" customHeight="1">
      <c r="C245" s="9" t="s">
        <v>316</v>
      </c>
      <c r="H245" s="406">
        <f>IF(VLOOKUP(GAS!N245,'GAS ASCII'!$B$2:$C$200,2)&gt;=500000,VLOOKUP(GAS!N245,'GAS ASCII'!$B$2:$C$200,2)/1000000,IF(VLOOKUP(GAS!N245,'GAS ASCII'!$B$2:$C$200,2)&lt;=0,"……………….","*"))</f>
        <v>102.37</v>
      </c>
      <c r="I245" s="21"/>
      <c r="J245" s="406">
        <f>IF(VLOOKUP(GAS!N245,'GAS ASCII'!$B$2:$D$200,3)&gt;=500000,VLOOKUP(GAS!N245,'GAS ASCII'!$B$2:$D$200,3)/-1000000,IF(VLOOKUP(GAS!N245,'GAS ASCII'!$B$2:$D$200,3)&lt;=0,"……………….","*"))</f>
        <v>-49.473</v>
      </c>
      <c r="K245" s="27"/>
      <c r="L245" s="406">
        <f>IF(VLOOKUP(GAS!N245,'GAS ASCII'!$B$2:$E$200,4)&gt;=500000,VLOOKUP(GAS!N245,'GAS ASCII'!$B$2:$E$200,4)/1000000,IF(VLOOKUP(GAS!N245,'GAS ASCII'!$B$2:$E$200,4)&lt;=0,"……………….","*"))</f>
        <v>52.897</v>
      </c>
      <c r="M245" s="21"/>
      <c r="N245" t="s">
        <v>972</v>
      </c>
      <c r="O245" s="283"/>
    </row>
    <row r="246" spans="3:15" ht="15.75" customHeight="1">
      <c r="C246" s="9" t="s">
        <v>1116</v>
      </c>
      <c r="H246" s="406">
        <f>IF(VLOOKUP(GAS!N246,'GAS ASCII'!$B$2:$C$200,2)&gt;=500000,VLOOKUP(GAS!N246,'GAS ASCII'!$B$2:$C$200,2)/1000000,IF(VLOOKUP(GAS!N246,'GAS ASCII'!$B$2:$C$200,2)&lt;=0,"……………….","*"))</f>
        <v>7.1281</v>
      </c>
      <c r="I246" s="21"/>
      <c r="J246" s="406" t="str">
        <f>IF(VLOOKUP(GAS!N246,'GAS ASCII'!$B$2:$D$200,3)&gt;=500000,VLOOKUP(GAS!N246,'GAS ASCII'!$B$2:$D$200,3)/-1000000,IF(VLOOKUP(GAS!N246,'GAS ASCII'!$B$2:$D$200,3)&lt;=0,"……………….","*"))</f>
        <v>……………….</v>
      </c>
      <c r="K246" s="27"/>
      <c r="L246" s="406">
        <f>IF(VLOOKUP(GAS!N246,'GAS ASCII'!$B$2:$E$200,4)&gt;=500000,VLOOKUP(GAS!N246,'GAS ASCII'!$B$2:$E$200,4)/1000000,IF(VLOOKUP(GAS!N246,'GAS ASCII'!$B$2:$E$200,4)&lt;=0,"……………….","*"))</f>
        <v>7.1281</v>
      </c>
      <c r="M246" s="21"/>
      <c r="N246" t="s">
        <v>974</v>
      </c>
      <c r="O246" s="283"/>
    </row>
    <row r="247" spans="3:15" ht="15.75" customHeight="1">
      <c r="C247" s="9" t="s">
        <v>1094</v>
      </c>
      <c r="H247" s="406">
        <f>IF(VLOOKUP(GAS!N247,'GAS ASCII'!$B$2:$C$200,2)&gt;=500000,VLOOKUP(GAS!N247,'GAS ASCII'!$B$2:$C$200,2)/1000000,IF(VLOOKUP(GAS!N247,'GAS ASCII'!$B$2:$C$200,2)&lt;=0,"……………….","*"))</f>
        <v>236.784</v>
      </c>
      <c r="I247" s="21"/>
      <c r="J247" s="406" t="str">
        <f>IF(VLOOKUP(GAS!N247,'GAS ASCII'!$B$2:$D$200,3)&gt;=500000,VLOOKUP(GAS!N247,'GAS ASCII'!$B$2:$D$200,3)/-1000000,IF(VLOOKUP(GAS!N247,'GAS ASCII'!$B$2:$D$200,3)&lt;=0,"……………….","*"))</f>
        <v>……………….</v>
      </c>
      <c r="K247" s="27"/>
      <c r="L247" s="406">
        <f>IF(VLOOKUP(GAS!N247,'GAS ASCII'!$B$2:$E$200,4)&gt;=500000,VLOOKUP(GAS!N247,'GAS ASCII'!$B$2:$E$200,4)/1000000,IF(VLOOKUP(GAS!N247,'GAS ASCII'!$B$2:$E$200,4)&lt;=0,"……………….","*"))</f>
        <v>236.784</v>
      </c>
      <c r="M247" s="21"/>
      <c r="N247" t="s">
        <v>976</v>
      </c>
      <c r="O247" s="283"/>
    </row>
    <row r="248" spans="3:15" ht="15.75" customHeight="1">
      <c r="C248" s="9" t="s">
        <v>659</v>
      </c>
      <c r="H248" s="406">
        <f>IF(VLOOKUP(GAS!N248,'GAS ASCII'!$B$2:$C$200,2)&gt;=500000,VLOOKUP(GAS!N248,'GAS ASCII'!$B$2:$C$200,2)/1000000,IF(VLOOKUP(GAS!N248,'GAS ASCII'!$B$2:$C$200,2)&lt;=0,"……………….","*"))</f>
        <v>3800.225</v>
      </c>
      <c r="I248" s="21"/>
      <c r="J248" s="406" t="str">
        <f>IF(VLOOKUP(GAS!N248,'GAS ASCII'!$B$2:$D$200,3)&gt;=500000,VLOOKUP(GAS!N248,'GAS ASCII'!$B$2:$D$200,3)/-1000000,IF(VLOOKUP(GAS!N248,'GAS ASCII'!$B$2:$D$200,3)&lt;=0,"……………….","*"))</f>
        <v>……………….</v>
      </c>
      <c r="K248" s="27"/>
      <c r="L248" s="406">
        <f>IF(VLOOKUP(GAS!N248,'GAS ASCII'!$B$2:$E$200,4)&gt;=500000,VLOOKUP(GAS!N248,'GAS ASCII'!$B$2:$E$200,4)/1000000,IF(VLOOKUP(GAS!N248,'GAS ASCII'!$B$2:$E$200,4)&lt;=0,"……………….","*"))</f>
        <v>3800.225</v>
      </c>
      <c r="M248" s="21"/>
      <c r="N248" t="s">
        <v>269</v>
      </c>
      <c r="O248" s="283"/>
    </row>
    <row r="249" spans="3:15" ht="15.75" customHeight="1">
      <c r="C249" s="9" t="s">
        <v>661</v>
      </c>
      <c r="H249" s="406">
        <f>IF(VLOOKUP(GAS!N249,'GAS ASCII'!$B$2:$C$200,2)&gt;=500000,VLOOKUP(GAS!N249,'GAS ASCII'!$B$2:$C$200,2)/1000000,IF(VLOOKUP(GAS!N249,'GAS ASCII'!$B$2:$C$200,2)&lt;=0,"……………….","*"))</f>
        <v>135.621</v>
      </c>
      <c r="I249" s="21"/>
      <c r="J249" s="406" t="str">
        <f>IF(VLOOKUP(GAS!N249,'GAS ASCII'!$B$2:$D$200,3)&gt;=500000,VLOOKUP(GAS!N249,'GAS ASCII'!$B$2:$D$200,3)/-1000000,IF(VLOOKUP(GAS!N249,'GAS ASCII'!$B$2:$D$200,3)&lt;=0,"……………….","*"))</f>
        <v>……………….</v>
      </c>
      <c r="K249" s="27"/>
      <c r="L249" s="406">
        <f>IF(VLOOKUP(GAS!N249,'GAS ASCII'!$B$2:$E$200,4)&gt;=500000,VLOOKUP(GAS!N249,'GAS ASCII'!$B$2:$E$200,4)/1000000,IF(VLOOKUP(GAS!N249,'GAS ASCII'!$B$2:$E$200,4)&lt;=0,"……………….","*"))</f>
        <v>135.621</v>
      </c>
      <c r="M249" s="21"/>
      <c r="N249" t="s">
        <v>271</v>
      </c>
      <c r="O249" s="283"/>
    </row>
    <row r="250" spans="8:15" ht="15.75" customHeight="1">
      <c r="H250" s="406"/>
      <c r="I250" s="21"/>
      <c r="J250" s="406"/>
      <c r="K250" s="21"/>
      <c r="L250" s="406"/>
      <c r="M250" s="21"/>
      <c r="O250" s="283"/>
    </row>
    <row r="251" spans="3:15" ht="15.75" customHeight="1">
      <c r="C251" s="9" t="s">
        <v>250</v>
      </c>
      <c r="H251" s="406">
        <f>IF(VLOOKUP(GAS!N251,'GAS ASCII'!$B$2:$C$200,2)&gt;=500000,VLOOKUP(GAS!N251,'GAS ASCII'!$B$2:$C$200,2)/1000000,IF(VLOOKUP(GAS!N251,'GAS ASCII'!$B$2:$C$200,2)&lt;=0,"……………….","*"))</f>
        <v>1937.273</v>
      </c>
      <c r="I251" s="21"/>
      <c r="J251" s="406" t="str">
        <f>IF(VLOOKUP(GAS!N251,'GAS ASCII'!$B$2:$D$200,3)&gt;=500000,VLOOKUP(GAS!N251,'GAS ASCII'!$B$2:$D$200,3)/-1000000,IF(VLOOKUP(GAS!N251,'GAS ASCII'!$B$2:$D$200,3)&lt;=0,"……………….","*"))</f>
        <v>……………….</v>
      </c>
      <c r="K251" s="27"/>
      <c r="L251" s="406">
        <f>IF(VLOOKUP(GAS!N251,'GAS ASCII'!$B$2:$E$200,4)&gt;=500000,VLOOKUP(GAS!N251,'GAS ASCII'!$B$2:$E$200,4)/1000000,IF(VLOOKUP(GAS!N251,'GAS ASCII'!$B$2:$E$200,4)&lt;=0,"……………….","*"))</f>
        <v>1937.273</v>
      </c>
      <c r="M251" s="21"/>
      <c r="N251" t="s">
        <v>273</v>
      </c>
      <c r="O251" s="283"/>
    </row>
    <row r="252" spans="3:15" ht="15.75" customHeight="1">
      <c r="C252" s="9" t="s">
        <v>753</v>
      </c>
      <c r="H252" s="406">
        <f>IF(VLOOKUP(GAS!N252,'GAS ASCII'!$B$2:$C$200,2)&gt;=500000,VLOOKUP(GAS!N252,'GAS ASCII'!$B$2:$C$200,2)/1000000,IF(VLOOKUP(GAS!N252,'GAS ASCII'!$B$2:$C$200,2)&lt;=0,"……………….","*"))</f>
        <v>820.837</v>
      </c>
      <c r="I252" s="21"/>
      <c r="J252" s="406">
        <f>IF(VLOOKUP(GAS!N252,'GAS ASCII'!$B$2:$D$200,3)&gt;=500000,VLOOKUP(GAS!N252,'GAS ASCII'!$B$2:$D$200,3)/-1000000,IF(VLOOKUP(GAS!N252,'GAS ASCII'!$B$2:$D$200,3)&lt;=0,"……………….","*"))</f>
        <v>-367.372</v>
      </c>
      <c r="K252" s="27"/>
      <c r="L252" s="406">
        <f>IF(VLOOKUP(GAS!N252,'GAS ASCII'!$B$2:$E$200,4)&gt;=500000,VLOOKUP(GAS!N252,'GAS ASCII'!$B$2:$E$200,4)/1000000,IF(VLOOKUP(GAS!N252,'GAS ASCII'!$B$2:$E$200,4)&lt;=0,"……………….","*"))</f>
        <v>453.465</v>
      </c>
      <c r="M252" s="21"/>
      <c r="N252" t="s">
        <v>275</v>
      </c>
      <c r="O252" s="283"/>
    </row>
    <row r="253" spans="3:15" ht="15.75" customHeight="1">
      <c r="C253" s="132" t="s">
        <v>754</v>
      </c>
      <c r="H253" s="406"/>
      <c r="I253" s="21"/>
      <c r="J253" s="406"/>
      <c r="K253" s="27"/>
      <c r="L253" s="406"/>
      <c r="M253" s="21"/>
      <c r="O253" s="283"/>
    </row>
    <row r="254" spans="3:15" ht="15.75" customHeight="1">
      <c r="C254" s="9" t="s">
        <v>133</v>
      </c>
      <c r="H254" s="406">
        <f>IF(VLOOKUP(GAS!N254,'GAS ASCII'!$B$2:$C$200,2)&gt;=500000,VLOOKUP(GAS!N254,'GAS ASCII'!$B$2:$C$200,2)/1000000,IF(VLOOKUP(GAS!N254,'GAS ASCII'!$B$2:$C$200,2)&lt;=0,"……………….","*"))</f>
        <v>3056.082</v>
      </c>
      <c r="I254" s="21"/>
      <c r="J254" s="406">
        <f>IF(VLOOKUP(GAS!N254,'GAS ASCII'!$B$2:$D$200,3)&gt;=500000,VLOOKUP(GAS!N254,'GAS ASCII'!$B$2:$D$200,3)/-1000000,IF(VLOOKUP(GAS!N254,'GAS ASCII'!$B$2:$D$200,3)&lt;=0,"……………….","*"))</f>
        <v>-1186.67</v>
      </c>
      <c r="K254" s="27"/>
      <c r="L254" s="406">
        <f>IF(VLOOKUP(GAS!N254,'GAS ASCII'!$B$2:$E$200,4)&gt;=500000,VLOOKUP(GAS!N254,'GAS ASCII'!$B$2:$E$200,4)/1000000,IF(VLOOKUP(GAS!N254,'GAS ASCII'!$B$2:$E$200,4)&lt;=0,"……………….","*"))</f>
        <v>1869.412</v>
      </c>
      <c r="M254" s="21"/>
      <c r="N254" t="s">
        <v>277</v>
      </c>
      <c r="O254" s="283"/>
    </row>
    <row r="255" spans="3:15" ht="15.75" customHeight="1">
      <c r="C255" s="132" t="s">
        <v>757</v>
      </c>
      <c r="H255" s="406" t="str">
        <f>IF(VLOOKUP(GAS!N255,'GAS ASCII'!$B$2:$C$200,2)&gt;=500000,VLOOKUP(GAS!N255,'GAS ASCII'!$B$2:$C$200,2)/1000000,IF(VLOOKUP(GAS!N255,'GAS ASCII'!$B$2:$C$200,2)&lt;=0,"……………….","*"))</f>
        <v>*</v>
      </c>
      <c r="I255" s="21"/>
      <c r="J255" s="406" t="str">
        <f>IF(VLOOKUP(GAS!N255,'GAS ASCII'!$B$2:$D$200,3)&gt;=500000,VLOOKUP(GAS!N255,'GAS ASCII'!$B$2:$D$200,3)/-1000000,IF(VLOOKUP(GAS!N255,'GAS ASCII'!$B$2:$D$200,3)&lt;=0,"……………….","*"))</f>
        <v>……………….</v>
      </c>
      <c r="K255" s="27"/>
      <c r="L255" s="406" t="str">
        <f>IF(VLOOKUP(GAS!N255,'GAS ASCII'!$B$2:$E$200,4)&gt;=500000,VLOOKUP(GAS!N255,'GAS ASCII'!$B$2:$E$200,4)/1000000,IF(VLOOKUP(GAS!N255,'GAS ASCII'!$B$2:$E$200,4)&lt;=0,"……………….","*"))</f>
        <v>*</v>
      </c>
      <c r="M255" s="21"/>
      <c r="N255" t="s">
        <v>279</v>
      </c>
      <c r="O255" s="283"/>
    </row>
    <row r="256" spans="3:15" ht="15.75" customHeight="1">
      <c r="C256" s="132" t="s">
        <v>758</v>
      </c>
      <c r="H256" s="406">
        <f>IF(VLOOKUP(GAS!N256,'GAS ASCII'!$B$2:$C$200,2)&gt;=500000,VLOOKUP(GAS!N256,'GAS ASCII'!$B$2:$C$200,2)/1000000,IF(VLOOKUP(GAS!N256,'GAS ASCII'!$B$2:$C$200,2)&lt;=0,"……………….","*"))</f>
        <v>789.75172629</v>
      </c>
      <c r="I256" s="21"/>
      <c r="J256" s="406" t="str">
        <f>IF(VLOOKUP(GAS!N256,'GAS ASCII'!$B$2:$D$200,3)&gt;=500000,VLOOKUP(GAS!N256,'GAS ASCII'!$B$2:$D$200,3)/-1000000,IF(VLOOKUP(GAS!N256,'GAS ASCII'!$B$2:$D$200,3)&lt;=0,"……………….","*"))</f>
        <v>……………….</v>
      </c>
      <c r="K256" s="27"/>
      <c r="L256" s="406">
        <f>IF(VLOOKUP(GAS!N256,'GAS ASCII'!$B$2:$E$200,4)&gt;=500000,VLOOKUP(GAS!N256,'GAS ASCII'!$B$2:$E$200,4)/1000000,IF(VLOOKUP(GAS!N256,'GAS ASCII'!$B$2:$E$200,4)&lt;=0,"……………….","*"))</f>
        <v>789.75172629</v>
      </c>
      <c r="M256" s="21"/>
      <c r="N256" t="s">
        <v>281</v>
      </c>
      <c r="O256" s="283"/>
    </row>
    <row r="257" spans="3:15" ht="15.75" customHeight="1">
      <c r="C257" s="9"/>
      <c r="H257" s="406"/>
      <c r="I257" s="21"/>
      <c r="J257" s="406"/>
      <c r="K257" s="27"/>
      <c r="L257" s="406"/>
      <c r="M257" s="21"/>
      <c r="O257" s="283"/>
    </row>
    <row r="258" spans="3:15" ht="15.75" customHeight="1">
      <c r="C258" s="9" t="s">
        <v>759</v>
      </c>
      <c r="H258" s="406">
        <f>IF(VLOOKUP(GAS!N258,'GAS ASCII'!$B$2:$C$200,2)&gt;=500000,VLOOKUP(GAS!N258,'GAS ASCII'!$B$2:$C$200,2)/1000000,IF(VLOOKUP(GAS!N258,'GAS ASCII'!$B$2:$C$200,2)&lt;=0,"……………….","*"))</f>
        <v>36.25</v>
      </c>
      <c r="I258" s="21"/>
      <c r="J258" s="406" t="str">
        <f>IF(VLOOKUP(GAS!N258,'GAS ASCII'!$B$2:$D$200,3)&gt;=500000,VLOOKUP(GAS!N258,'GAS ASCII'!$B$2:$D$200,3)/-1000000,IF(VLOOKUP(GAS!N258,'GAS ASCII'!$B$2:$D$200,3)&lt;=0,"……………….","*"))</f>
        <v>……………….</v>
      </c>
      <c r="K258" s="27"/>
      <c r="L258" s="406">
        <f>IF(VLOOKUP(GAS!N258,'GAS ASCII'!$B$2:$E$200,4)&gt;=500000,VLOOKUP(GAS!N258,'GAS ASCII'!$B$2:$E$200,4)/1000000,IF(VLOOKUP(GAS!N258,'GAS ASCII'!$B$2:$E$200,4)&lt;=0,"……………….","*"))</f>
        <v>36.25</v>
      </c>
      <c r="M258" s="21"/>
      <c r="N258" t="s">
        <v>283</v>
      </c>
      <c r="O258" s="283"/>
    </row>
    <row r="259" spans="2:13" ht="15.75" customHeight="1" thickBot="1">
      <c r="B259" s="78" t="s">
        <v>740</v>
      </c>
      <c r="H259" s="417">
        <f>SUM(H48:H258)+2</f>
        <v>3477537.3059126</v>
      </c>
      <c r="I259" s="418"/>
      <c r="J259" s="417">
        <f>SUM(J48:J258)-1</f>
        <v>-523634.20637423004</v>
      </c>
      <c r="K259" s="418"/>
      <c r="L259" s="417">
        <f>H259+J259</f>
        <v>2953903.09953837</v>
      </c>
      <c r="M259" s="418"/>
    </row>
    <row r="260" spans="2:13" ht="21.75" customHeight="1" thickBot="1" thickTop="1">
      <c r="B260" s="75" t="s">
        <v>680</v>
      </c>
      <c r="C260" s="9"/>
      <c r="H260" s="235">
        <f>H44+H259</f>
        <v>3532292.26905184</v>
      </c>
      <c r="I260" s="280"/>
      <c r="J260" s="235">
        <f>J44+J259</f>
        <v>-523675.19637423</v>
      </c>
      <c r="K260" s="281"/>
      <c r="L260" s="235">
        <f>L44+L259</f>
        <v>3008617.07267761</v>
      </c>
      <c r="M260" s="280"/>
    </row>
    <row r="261" spans="2:13" ht="15.75" customHeight="1" thickTop="1">
      <c r="B261" s="75"/>
      <c r="C261" s="9"/>
      <c r="H261" s="268"/>
      <c r="I261" s="268"/>
      <c r="J261" s="268"/>
      <c r="K261" s="269"/>
      <c r="L261" s="270"/>
      <c r="M261" s="268"/>
    </row>
    <row r="262" spans="1:13" ht="18">
      <c r="A262" s="138" t="s">
        <v>85</v>
      </c>
      <c r="B262" s="138"/>
      <c r="C262" s="139"/>
      <c r="D262" s="139"/>
      <c r="E262" s="63"/>
      <c r="F262" s="63"/>
      <c r="G262" s="63"/>
      <c r="H262" s="63"/>
      <c r="I262" s="63"/>
      <c r="J262" s="63"/>
      <c r="K262" s="63"/>
      <c r="L262" s="279"/>
      <c r="M262" s="63"/>
    </row>
    <row r="263" spans="1:13" ht="15">
      <c r="A263" s="78"/>
      <c r="B263" s="140" t="s">
        <v>327</v>
      </c>
      <c r="C263" s="78"/>
      <c r="D263" s="78"/>
      <c r="E263" s="78"/>
      <c r="F263" s="78"/>
      <c r="G263" s="78"/>
      <c r="H263" s="282"/>
      <c r="I263" s="78"/>
      <c r="J263" s="78"/>
      <c r="K263" s="78"/>
      <c r="L263" s="82"/>
      <c r="M263" s="78"/>
    </row>
    <row r="264" spans="1:13" ht="15.75" customHeight="1">
      <c r="A264" s="78"/>
      <c r="B264" s="78"/>
      <c r="C264" s="140" t="s">
        <v>1200</v>
      </c>
      <c r="D264" s="78"/>
      <c r="E264" s="78"/>
      <c r="F264" s="78"/>
      <c r="G264" s="78"/>
      <c r="H264" s="78"/>
      <c r="I264" s="78"/>
      <c r="J264" s="78"/>
      <c r="K264" s="163">
        <v>14</v>
      </c>
      <c r="L264" s="142">
        <v>258.501</v>
      </c>
      <c r="M264" s="78"/>
    </row>
    <row r="265" spans="1:13" ht="15.75" customHeight="1">
      <c r="A265" s="78"/>
      <c r="B265" s="78"/>
      <c r="C265" s="140" t="s">
        <v>27</v>
      </c>
      <c r="D265" s="78"/>
      <c r="E265" s="78"/>
      <c r="F265" s="78"/>
      <c r="G265" s="78"/>
      <c r="H265" s="78"/>
      <c r="I265" s="78"/>
      <c r="J265" s="78"/>
      <c r="K265" s="163">
        <v>15</v>
      </c>
      <c r="L265" s="142">
        <v>65.19132</v>
      </c>
      <c r="M265" s="78"/>
    </row>
    <row r="266" spans="1:13" ht="15.75" customHeight="1">
      <c r="A266" s="78"/>
      <c r="B266" s="78"/>
      <c r="C266" s="140" t="s">
        <v>1202</v>
      </c>
      <c r="D266" s="78"/>
      <c r="E266" s="78"/>
      <c r="F266" s="78"/>
      <c r="G266" s="78"/>
      <c r="H266" s="78"/>
      <c r="I266" s="78"/>
      <c r="J266" s="78"/>
      <c r="K266" s="163">
        <v>16</v>
      </c>
      <c r="L266" s="142">
        <v>179.009019</v>
      </c>
      <c r="M266" s="78"/>
    </row>
    <row r="267" spans="1:13" ht="15.75" customHeight="1">
      <c r="A267" s="78"/>
      <c r="B267" s="78"/>
      <c r="C267" s="140" t="s">
        <v>1203</v>
      </c>
      <c r="D267" s="78"/>
      <c r="E267" s="78"/>
      <c r="F267" s="78"/>
      <c r="G267" s="78"/>
      <c r="H267" s="78"/>
      <c r="I267" s="78"/>
      <c r="J267" s="78"/>
      <c r="K267" s="143"/>
      <c r="L267" s="142">
        <f>L268-L266-L265-L264</f>
        <v>11.447476000000051</v>
      </c>
      <c r="M267" s="78"/>
    </row>
    <row r="268" spans="1:13" ht="18" customHeight="1" thickBot="1">
      <c r="A268" s="78"/>
      <c r="B268" s="140" t="s">
        <v>380</v>
      </c>
      <c r="C268" s="78"/>
      <c r="D268" s="78"/>
      <c r="E268" s="78"/>
      <c r="F268" s="78"/>
      <c r="G268" s="78"/>
      <c r="H268" s="78"/>
      <c r="I268" s="78"/>
      <c r="J268" s="78"/>
      <c r="K268" s="78"/>
      <c r="L268" s="144">
        <v>514.148815</v>
      </c>
      <c r="M268" s="145"/>
    </row>
    <row r="269" spans="1:13" ht="16.5" customHeight="1" thickTop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142"/>
      <c r="M269" s="124"/>
    </row>
    <row r="270" spans="1:13" ht="16.5" customHeight="1">
      <c r="A270" s="78"/>
      <c r="B270" s="140" t="s">
        <v>415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142"/>
      <c r="M270" s="78"/>
    </row>
    <row r="271" spans="1:13" ht="15.75" customHeight="1">
      <c r="A271" s="78"/>
      <c r="B271" s="78"/>
      <c r="C271" s="140" t="s">
        <v>381</v>
      </c>
      <c r="D271" s="78"/>
      <c r="E271" s="78"/>
      <c r="F271" s="78"/>
      <c r="G271" s="78"/>
      <c r="H271" s="78"/>
      <c r="I271" s="78"/>
      <c r="J271" s="78"/>
      <c r="K271" s="163" t="s">
        <v>609</v>
      </c>
      <c r="L271" s="142">
        <v>3766.435687</v>
      </c>
      <c r="M271" s="78"/>
    </row>
    <row r="272" spans="1:13" ht="15.75" customHeight="1">
      <c r="A272" s="78"/>
      <c r="B272" s="78"/>
      <c r="C272" s="140" t="s">
        <v>390</v>
      </c>
      <c r="D272" s="78"/>
      <c r="E272" s="78"/>
      <c r="F272" s="78"/>
      <c r="G272" s="78"/>
      <c r="H272" s="78"/>
      <c r="I272" s="78"/>
      <c r="J272" s="78"/>
      <c r="K272" s="143"/>
      <c r="L272" s="142">
        <v>45.051936</v>
      </c>
      <c r="M272" s="78"/>
    </row>
    <row r="273" spans="1:13" ht="15.75" customHeight="1">
      <c r="A273" s="78"/>
      <c r="B273" s="78"/>
      <c r="C273" s="140" t="s">
        <v>1203</v>
      </c>
      <c r="D273" s="78"/>
      <c r="E273" s="78"/>
      <c r="F273" s="78"/>
      <c r="G273" s="78"/>
      <c r="H273" s="78"/>
      <c r="I273" s="78"/>
      <c r="J273" s="78"/>
      <c r="K273" s="163"/>
      <c r="L273" s="142">
        <f>+L274-L271-L272</f>
        <v>6.346761000000086</v>
      </c>
      <c r="M273" s="78"/>
    </row>
    <row r="274" spans="1:13" ht="18" customHeight="1" thickBot="1">
      <c r="A274" s="78"/>
      <c r="B274" s="140" t="s">
        <v>914</v>
      </c>
      <c r="C274" s="78"/>
      <c r="D274" s="78"/>
      <c r="E274" s="78"/>
      <c r="F274" s="78"/>
      <c r="G274" s="78"/>
      <c r="H274" s="78"/>
      <c r="I274" s="78"/>
      <c r="J274" s="78"/>
      <c r="K274" s="143"/>
      <c r="L274" s="144">
        <v>3817.8343840000002</v>
      </c>
      <c r="M274" s="145"/>
    </row>
    <row r="275" spans="1:13" ht="21" customHeight="1" thickBot="1" thickTop="1">
      <c r="A275" s="138" t="s">
        <v>583</v>
      </c>
      <c r="B275" s="138"/>
      <c r="C275" s="139"/>
      <c r="D275" s="139"/>
      <c r="E275" s="180"/>
      <c r="F275" s="180"/>
      <c r="G275" s="180"/>
      <c r="H275" s="180"/>
      <c r="I275" s="180"/>
      <c r="J275" s="180"/>
      <c r="K275" s="238"/>
      <c r="L275" s="111">
        <f>+L268+L274</f>
        <v>4331.983199</v>
      </c>
      <c r="M275" s="55"/>
    </row>
    <row r="276" spans="3:13" ht="15.75" customHeight="1" thickTop="1">
      <c r="C276" s="9"/>
      <c r="G276" s="63"/>
      <c r="H276" s="108"/>
      <c r="I276" s="108"/>
      <c r="J276" s="109"/>
      <c r="K276" s="27"/>
      <c r="L276" s="40"/>
      <c r="M276" s="21"/>
    </row>
    <row r="277" spans="1:13" ht="18" customHeight="1" thickBot="1">
      <c r="A277" s="23" t="s">
        <v>915</v>
      </c>
      <c r="B277" s="23"/>
      <c r="H277" s="116"/>
      <c r="I277" s="108"/>
      <c r="J277" s="116"/>
      <c r="K277" s="239"/>
      <c r="L277" s="111">
        <f>SUM(L260,L275,Nonmarketable!O18,Nonmarketable!O27,Nonmarketable!O32,Nonmarketable!O44,Nonmarketable!O63)</f>
        <v>3409853.79146881</v>
      </c>
      <c r="M277" s="168"/>
    </row>
    <row r="278" spans="3:13" ht="15.75" customHeight="1" thickTop="1">
      <c r="C278" s="9"/>
      <c r="G278" s="63"/>
      <c r="H278" s="108"/>
      <c r="I278" s="108"/>
      <c r="J278" s="109"/>
      <c r="K278" s="27"/>
      <c r="L278" s="240"/>
      <c r="M278" s="21"/>
    </row>
    <row r="279" spans="1:13" s="63" customFormat="1" ht="24.75" customHeight="1" thickBot="1">
      <c r="A279" s="370" t="s">
        <v>1112</v>
      </c>
      <c r="B279" s="181"/>
      <c r="C279" s="182"/>
      <c r="D279" s="182"/>
      <c r="E279" s="183"/>
      <c r="F279" s="183"/>
      <c r="G279" s="183"/>
      <c r="H279" s="183"/>
      <c r="I279" s="183"/>
      <c r="J279" s="183"/>
      <c r="K279" s="183"/>
      <c r="L279" s="371">
        <f>SUM(Marketable!O318,L277)</f>
        <v>7131068.220468811</v>
      </c>
      <c r="M279" s="130"/>
    </row>
    <row r="280" spans="1:13" ht="16.5" customHeight="1" thickTop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124"/>
      <c r="L280" s="179"/>
      <c r="M280" s="124"/>
    </row>
    <row r="281" spans="1:13" ht="16.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124"/>
      <c r="L281" s="179"/>
      <c r="M281" s="124"/>
    </row>
    <row r="282" spans="1:13" ht="16.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124"/>
      <c r="L282" s="179"/>
      <c r="M282" s="124"/>
    </row>
    <row r="283" spans="1:13" ht="16.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124"/>
      <c r="L283" s="179"/>
      <c r="M283" s="124"/>
    </row>
    <row r="284" spans="1:13" ht="16.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124"/>
      <c r="L284" s="179"/>
      <c r="M284" s="124"/>
    </row>
    <row r="285" spans="1:13" ht="16.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124"/>
      <c r="L285" s="179"/>
      <c r="M285" s="124"/>
    </row>
    <row r="286" spans="1:13" ht="16.5" customHeight="1" thickBot="1">
      <c r="A286" s="370"/>
      <c r="B286" s="370"/>
      <c r="C286" s="370"/>
      <c r="D286" s="370"/>
      <c r="E286" s="370"/>
      <c r="F286" s="370"/>
      <c r="G286" s="370"/>
      <c r="H286" s="370"/>
      <c r="I286" s="370"/>
      <c r="J286" s="370"/>
      <c r="K286" s="370"/>
      <c r="L286" s="370"/>
      <c r="M286" s="370"/>
    </row>
    <row r="287" spans="1:13" ht="16.5" customHeight="1" thickTop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124"/>
      <c r="L287" s="179"/>
      <c r="M287" s="124"/>
    </row>
    <row r="288" spans="1:13" ht="16.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124"/>
      <c r="L288" s="179"/>
      <c r="M288" s="124"/>
    </row>
    <row r="289" spans="1:13" ht="16.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124"/>
      <c r="L289" s="179"/>
      <c r="M289" s="124"/>
    </row>
    <row r="290" spans="1:13" ht="16.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124"/>
      <c r="L290" s="179"/>
      <c r="M290" s="124"/>
    </row>
    <row r="291" spans="1:13" ht="16.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124"/>
      <c r="L291" s="179"/>
      <c r="M291" s="124"/>
    </row>
    <row r="292" spans="1:13" ht="16.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124"/>
      <c r="L292" s="179"/>
      <c r="M292" s="124"/>
    </row>
    <row r="293" spans="1:13" ht="16.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124"/>
      <c r="L293" s="179"/>
      <c r="M293" s="124"/>
    </row>
    <row r="294" spans="1:13" ht="16.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124"/>
      <c r="L294" s="179"/>
      <c r="M294" s="124"/>
    </row>
    <row r="295" spans="1:13" ht="16.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124"/>
      <c r="L295" s="179"/>
      <c r="M295" s="124"/>
    </row>
    <row r="296" spans="1:13" ht="16.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124"/>
      <c r="L296" s="179"/>
      <c r="M296" s="124"/>
    </row>
    <row r="297" spans="1:13" ht="16.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124"/>
      <c r="L297" s="179"/>
      <c r="M297" s="124"/>
    </row>
    <row r="298" spans="1:13" ht="16.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124"/>
      <c r="L298" s="179"/>
      <c r="M298" s="124"/>
    </row>
    <row r="299" spans="1:13" ht="16.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124"/>
      <c r="L299" s="179"/>
      <c r="M299" s="124"/>
    </row>
    <row r="300" spans="1:13" ht="16.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124"/>
      <c r="L300" s="179"/>
      <c r="M300" s="124"/>
    </row>
  </sheetData>
  <printOptions horizontalCentered="1"/>
  <pageMargins left="0" right="0" top="0.4" bottom="0.25" header="0" footer="0.18"/>
  <pageSetup fitToHeight="3" horizontalDpi="300" verticalDpi="300" orientation="portrait" scale="38" r:id="rId1"/>
  <rowBreaks count="2" manualBreakCount="2">
    <brk id="96" max="12" man="1"/>
    <brk id="192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85"/>
  <sheetViews>
    <sheetView showGridLines="0" view="pageBreakPreview" zoomScale="50" zoomScaleNormal="80" zoomScaleSheetLayoutView="50" workbookViewId="0" topLeftCell="A1">
      <selection activeCell="K179" sqref="K179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78" customFormat="1" ht="15.75" customHeight="1">
      <c r="A1" s="395" t="s">
        <v>844</v>
      </c>
      <c r="B1" s="76" t="s">
        <v>994</v>
      </c>
      <c r="C1" s="76"/>
      <c r="D1" s="76"/>
      <c r="E1" s="77"/>
      <c r="F1" s="77"/>
      <c r="G1" s="77"/>
      <c r="H1" s="77"/>
      <c r="I1" s="77"/>
      <c r="J1" s="284"/>
      <c r="K1" s="284"/>
      <c r="L1" s="75"/>
    </row>
    <row r="2" spans="1:12" s="78" customFormat="1" ht="15.75" customHeight="1">
      <c r="A2" s="224"/>
      <c r="B2" s="286" t="s">
        <v>443</v>
      </c>
      <c r="C2" s="76"/>
      <c r="D2" s="76"/>
      <c r="E2" s="77"/>
      <c r="F2" s="77"/>
      <c r="G2" s="77"/>
      <c r="H2" s="77"/>
      <c r="I2" s="77"/>
      <c r="J2" s="284"/>
      <c r="K2" s="284"/>
      <c r="L2" s="75"/>
    </row>
    <row r="3" spans="1:12" s="78" customFormat="1" ht="15.75" customHeight="1">
      <c r="A3" s="287"/>
      <c r="B3" s="286"/>
      <c r="C3" s="288"/>
      <c r="D3" s="288"/>
      <c r="E3" s="288"/>
      <c r="F3" s="288"/>
      <c r="G3" s="288"/>
      <c r="H3" s="288"/>
      <c r="I3" s="288"/>
      <c r="J3" s="289"/>
      <c r="K3" s="288"/>
      <c r="L3" s="290"/>
    </row>
    <row r="4" spans="1:12" s="78" customFormat="1" ht="15.75" customHeight="1">
      <c r="A4" s="291"/>
      <c r="B4" s="291"/>
      <c r="C4" s="291"/>
      <c r="D4" s="292"/>
      <c r="E4" s="377"/>
      <c r="F4" s="375"/>
      <c r="G4" s="293"/>
      <c r="H4" s="292"/>
      <c r="I4" s="293"/>
      <c r="J4" s="294"/>
      <c r="K4" s="290"/>
      <c r="L4" s="290"/>
    </row>
    <row r="5" spans="1:12" s="78" customFormat="1" ht="16.5" customHeight="1">
      <c r="A5" s="77" t="s">
        <v>286</v>
      </c>
      <c r="B5" s="77"/>
      <c r="C5" s="77"/>
      <c r="D5" s="426" t="s">
        <v>729</v>
      </c>
      <c r="E5" s="427" t="s">
        <v>730</v>
      </c>
      <c r="F5" s="378" t="s">
        <v>775</v>
      </c>
      <c r="G5" s="378" t="s">
        <v>265</v>
      </c>
      <c r="H5" s="378" t="s">
        <v>330</v>
      </c>
      <c r="I5" s="366" t="s">
        <v>331</v>
      </c>
      <c r="J5" s="77"/>
      <c r="L5" s="288"/>
    </row>
    <row r="6" spans="1:12" s="78" customFormat="1" ht="15.75" customHeight="1">
      <c r="A6" s="295"/>
      <c r="B6" s="295"/>
      <c r="C6" s="295"/>
      <c r="D6" s="379"/>
      <c r="E6" s="379"/>
      <c r="F6" s="376"/>
      <c r="G6" s="376"/>
      <c r="H6" s="367"/>
      <c r="I6" s="368"/>
      <c r="J6" s="369"/>
      <c r="K6" s="290"/>
      <c r="L6" s="290"/>
    </row>
    <row r="7" spans="1:12" s="78" customFormat="1" ht="21" customHeight="1">
      <c r="A7" s="271" t="s">
        <v>584</v>
      </c>
      <c r="D7" s="382">
        <f>+Summary!F31</f>
        <v>4176874.4999304414</v>
      </c>
      <c r="E7" s="380">
        <v>3711312</v>
      </c>
      <c r="F7" s="380">
        <v>3924090</v>
      </c>
      <c r="G7" s="380">
        <v>3553180.248</v>
      </c>
      <c r="H7" s="380">
        <v>3339310</v>
      </c>
      <c r="I7" s="403">
        <v>3439322</v>
      </c>
      <c r="J7" s="404"/>
      <c r="K7" s="290"/>
      <c r="L7" s="287"/>
    </row>
    <row r="8" spans="1:12" s="78" customFormat="1" ht="21" customHeight="1">
      <c r="A8" s="271" t="s">
        <v>585</v>
      </c>
      <c r="D8" s="264">
        <f>Summary!I31</f>
        <v>2954193.72053837</v>
      </c>
      <c r="E8" s="381">
        <v>2749464</v>
      </c>
      <c r="F8" s="381">
        <v>2859141</v>
      </c>
      <c r="G8" s="381">
        <v>2675055.718</v>
      </c>
      <c r="H8" s="381">
        <v>2468153</v>
      </c>
      <c r="I8" s="264">
        <v>2234857</v>
      </c>
      <c r="J8" s="265"/>
      <c r="K8" s="290"/>
      <c r="L8" s="287"/>
    </row>
    <row r="9" spans="1:12" s="78" customFormat="1" ht="21" customHeight="1" thickBot="1">
      <c r="A9" s="272" t="s">
        <v>586</v>
      </c>
      <c r="B9" s="262"/>
      <c r="C9" s="262"/>
      <c r="D9" s="263">
        <f>+Summary!L31</f>
        <v>7131068.220468811</v>
      </c>
      <c r="E9" s="266">
        <f>SUM(E7:E8)</f>
        <v>6460776</v>
      </c>
      <c r="F9" s="266">
        <f>SUM(F7:F8)</f>
        <v>6783231</v>
      </c>
      <c r="G9" s="266">
        <f>SUM(G7:G8)</f>
        <v>6228235.966</v>
      </c>
      <c r="H9" s="266">
        <f>SUM(H7:H8)</f>
        <v>5807463</v>
      </c>
      <c r="I9" s="266">
        <f>SUM(I7:I8)-1</f>
        <v>5674178</v>
      </c>
      <c r="J9" s="267"/>
      <c r="K9" s="290"/>
      <c r="L9" s="287"/>
    </row>
    <row r="10" spans="1:12" s="78" customFormat="1" ht="12.75" customHeight="1" thickTop="1">
      <c r="A10" s="277"/>
      <c r="B10" s="276"/>
      <c r="C10" s="276"/>
      <c r="D10" s="276"/>
      <c r="E10" s="276"/>
      <c r="F10" s="276"/>
      <c r="G10" s="464"/>
      <c r="H10" s="464"/>
      <c r="I10" s="464"/>
      <c r="J10" s="464"/>
      <c r="L10" s="287"/>
    </row>
    <row r="11" spans="1:13" s="78" customFormat="1" ht="28.5" customHeight="1" thickBot="1">
      <c r="A11" s="274" t="s">
        <v>995</v>
      </c>
      <c r="B11" s="274"/>
      <c r="C11" s="274"/>
      <c r="D11" s="274"/>
      <c r="E11" s="275"/>
      <c r="F11" s="275"/>
      <c r="G11" s="275"/>
      <c r="H11" s="275"/>
      <c r="I11" s="275"/>
      <c r="J11" s="274"/>
      <c r="L11" s="290"/>
      <c r="M11" s="140" t="s">
        <v>416</v>
      </c>
    </row>
    <row r="12" spans="1:12" s="78" customFormat="1" ht="15.75" thickTop="1">
      <c r="A12" s="124"/>
      <c r="B12" s="124"/>
      <c r="C12" s="124"/>
      <c r="D12" s="82"/>
      <c r="E12" s="82"/>
      <c r="F12" s="82"/>
      <c r="G12" s="124"/>
      <c r="H12" s="124"/>
      <c r="I12" s="273"/>
      <c r="J12" s="124"/>
      <c r="K12" s="287"/>
      <c r="L12" s="287"/>
    </row>
    <row r="13" spans="4:12" s="78" customFormat="1" ht="14.25" customHeight="1">
      <c r="D13" s="297" t="s">
        <v>419</v>
      </c>
      <c r="E13" s="82"/>
      <c r="F13" s="298" t="s">
        <v>444</v>
      </c>
      <c r="G13" s="77"/>
      <c r="H13" s="77"/>
      <c r="I13" s="273"/>
      <c r="J13" s="287"/>
      <c r="K13" s="287"/>
      <c r="L13" s="287"/>
    </row>
    <row r="14" spans="1:11" s="78" customFormat="1" ht="16.5" customHeight="1">
      <c r="A14" s="77" t="s">
        <v>338</v>
      </c>
      <c r="B14" s="77"/>
      <c r="C14" s="77"/>
      <c r="D14" s="297" t="s">
        <v>420</v>
      </c>
      <c r="E14" s="297" t="s">
        <v>421</v>
      </c>
      <c r="F14" s="82"/>
      <c r="I14" s="299" t="s">
        <v>466</v>
      </c>
      <c r="J14" s="288"/>
      <c r="K14" s="284"/>
    </row>
    <row r="15" spans="4:12" s="78" customFormat="1" ht="15.75" customHeight="1">
      <c r="D15" s="297" t="s">
        <v>473</v>
      </c>
      <c r="E15" s="82"/>
      <c r="F15" s="300" t="s">
        <v>474</v>
      </c>
      <c r="G15" s="300" t="s">
        <v>475</v>
      </c>
      <c r="H15" s="300" t="s">
        <v>475</v>
      </c>
      <c r="I15" s="301" t="s">
        <v>6</v>
      </c>
      <c r="J15" s="66"/>
      <c r="K15" s="124"/>
      <c r="L15" s="124"/>
    </row>
    <row r="16" spans="1:10" s="78" customFormat="1" ht="14.25" customHeight="1">
      <c r="A16" s="83"/>
      <c r="B16" s="83"/>
      <c r="C16" s="83"/>
      <c r="D16" s="84"/>
      <c r="E16" s="84"/>
      <c r="F16" s="302" t="s">
        <v>1007</v>
      </c>
      <c r="G16" s="303" t="s">
        <v>476</v>
      </c>
      <c r="H16" s="303" t="s">
        <v>477</v>
      </c>
      <c r="I16" s="304"/>
      <c r="J16" s="296"/>
    </row>
    <row r="17" spans="1:12" s="78" customFormat="1" ht="14.25" customHeight="1">
      <c r="A17" s="124"/>
      <c r="B17" s="124"/>
      <c r="C17" s="124"/>
      <c r="D17" s="82"/>
      <c r="E17" s="82"/>
      <c r="F17" s="305"/>
      <c r="G17" s="297"/>
      <c r="H17" s="297"/>
      <c r="I17" s="85"/>
      <c r="J17" s="290"/>
      <c r="K17" s="284"/>
      <c r="L17" s="284"/>
    </row>
    <row r="18" spans="1:12" s="78" customFormat="1" ht="14.25" customHeight="1">
      <c r="A18" s="140" t="s">
        <v>478</v>
      </c>
      <c r="D18" s="82"/>
      <c r="E18" s="82"/>
      <c r="F18" s="142"/>
      <c r="G18" s="142"/>
      <c r="H18" s="142"/>
      <c r="I18" s="85"/>
      <c r="J18" s="287"/>
      <c r="K18" s="124"/>
      <c r="L18" s="124"/>
    </row>
    <row r="19" spans="1:10" s="78" customFormat="1" ht="13.5" customHeight="1">
      <c r="A19" s="140" t="s">
        <v>96</v>
      </c>
      <c r="C19" s="306" t="s">
        <v>104</v>
      </c>
      <c r="D19" s="82"/>
      <c r="E19" s="82"/>
      <c r="F19" s="142"/>
      <c r="G19" s="142"/>
      <c r="H19" s="142"/>
      <c r="I19" s="85"/>
      <c r="J19" s="287"/>
    </row>
    <row r="20" spans="1:10" s="78" customFormat="1" ht="15.75" customHeight="1">
      <c r="A20" s="307" t="s">
        <v>1158</v>
      </c>
      <c r="C20" s="306" t="s">
        <v>839</v>
      </c>
      <c r="D20" s="308" t="s">
        <v>479</v>
      </c>
      <c r="E20" s="309">
        <v>38306</v>
      </c>
      <c r="F20" s="142">
        <v>8301806</v>
      </c>
      <c r="G20" s="142">
        <v>4775156</v>
      </c>
      <c r="H20" s="142">
        <f aca="true" t="shared" si="0" ref="H20:H57">SUM(F20-G20)</f>
        <v>3526650</v>
      </c>
      <c r="I20" s="85">
        <v>201600</v>
      </c>
      <c r="J20" s="287"/>
    </row>
    <row r="21" spans="1:10" s="78" customFormat="1" ht="15" customHeight="1">
      <c r="A21" s="307" t="s">
        <v>43</v>
      </c>
      <c r="C21" s="306" t="s">
        <v>845</v>
      </c>
      <c r="D21" s="308" t="s">
        <v>480</v>
      </c>
      <c r="E21" s="309">
        <v>38487</v>
      </c>
      <c r="F21" s="142">
        <v>4260758</v>
      </c>
      <c r="G21" s="142">
        <v>2087251</v>
      </c>
      <c r="H21" s="142">
        <f t="shared" si="0"/>
        <v>2173507</v>
      </c>
      <c r="I21" s="85">
        <v>26300</v>
      </c>
      <c r="J21" s="287"/>
    </row>
    <row r="22" spans="1:12" s="78" customFormat="1" ht="15.75" customHeight="1">
      <c r="A22" s="307" t="s">
        <v>44</v>
      </c>
      <c r="C22" s="306" t="s">
        <v>840</v>
      </c>
      <c r="D22" s="308" t="s">
        <v>481</v>
      </c>
      <c r="E22" s="309">
        <v>38579</v>
      </c>
      <c r="F22" s="142">
        <v>9269713</v>
      </c>
      <c r="G22" s="142">
        <v>6278284</v>
      </c>
      <c r="H22" s="142">
        <f t="shared" si="0"/>
        <v>2991429</v>
      </c>
      <c r="I22" s="85">
        <v>12000</v>
      </c>
      <c r="J22" s="287"/>
      <c r="K22" s="284"/>
      <c r="L22" s="77"/>
    </row>
    <row r="23" spans="1:10" s="78" customFormat="1" ht="15" customHeight="1">
      <c r="A23" s="307" t="s">
        <v>1159</v>
      </c>
      <c r="C23" s="306" t="s">
        <v>847</v>
      </c>
      <c r="D23" s="308" t="s">
        <v>482</v>
      </c>
      <c r="E23" s="309">
        <v>38763</v>
      </c>
      <c r="F23" s="142">
        <v>4755916</v>
      </c>
      <c r="G23" s="142">
        <v>4302982</v>
      </c>
      <c r="H23" s="142">
        <f t="shared" si="0"/>
        <v>452934</v>
      </c>
      <c r="I23" s="85">
        <v>4272</v>
      </c>
      <c r="J23" s="287"/>
    </row>
    <row r="24" spans="1:12" s="78" customFormat="1" ht="15" customHeight="1">
      <c r="A24" s="307" t="s">
        <v>1160</v>
      </c>
      <c r="B24" s="158" t="s">
        <v>1004</v>
      </c>
      <c r="C24" s="306" t="s">
        <v>837</v>
      </c>
      <c r="D24" s="308" t="s">
        <v>483</v>
      </c>
      <c r="E24" s="309">
        <v>41958</v>
      </c>
      <c r="F24" s="142">
        <v>5015284</v>
      </c>
      <c r="G24" s="142">
        <v>1944562</v>
      </c>
      <c r="H24" s="142">
        <f t="shared" si="0"/>
        <v>3070722</v>
      </c>
      <c r="I24" s="85">
        <v>7200</v>
      </c>
      <c r="J24" s="287"/>
      <c r="K24" s="124"/>
      <c r="L24" s="124"/>
    </row>
    <row r="25" spans="1:10" s="78" customFormat="1" ht="15" customHeight="1">
      <c r="A25" s="307" t="s">
        <v>1161</v>
      </c>
      <c r="C25" s="306" t="s">
        <v>852</v>
      </c>
      <c r="D25" s="308" t="s">
        <v>484</v>
      </c>
      <c r="E25" s="309">
        <v>42050</v>
      </c>
      <c r="F25" s="142">
        <v>10520299</v>
      </c>
      <c r="G25" s="142">
        <v>8313040</v>
      </c>
      <c r="H25" s="142">
        <f t="shared" si="0"/>
        <v>2207259</v>
      </c>
      <c r="I25" s="85">
        <v>179760</v>
      </c>
      <c r="J25" s="287"/>
    </row>
    <row r="26" spans="1:10" s="78" customFormat="1" ht="15.75" customHeight="1">
      <c r="A26" s="307" t="s">
        <v>691</v>
      </c>
      <c r="C26" s="306" t="s">
        <v>853</v>
      </c>
      <c r="D26" s="308" t="s">
        <v>485</v>
      </c>
      <c r="E26" s="309">
        <v>42231</v>
      </c>
      <c r="F26" s="142">
        <v>4023916</v>
      </c>
      <c r="G26" s="142">
        <v>3365631</v>
      </c>
      <c r="H26" s="142">
        <f t="shared" si="0"/>
        <v>658285</v>
      </c>
      <c r="I26" s="85">
        <v>68360</v>
      </c>
      <c r="J26" s="287"/>
    </row>
    <row r="27" spans="1:10" s="78" customFormat="1" ht="15" customHeight="1">
      <c r="A27" s="307" t="s">
        <v>692</v>
      </c>
      <c r="C27" s="306" t="s">
        <v>604</v>
      </c>
      <c r="D27" s="308" t="s">
        <v>486</v>
      </c>
      <c r="E27" s="309">
        <v>42323</v>
      </c>
      <c r="F27" s="142">
        <v>5584859</v>
      </c>
      <c r="G27" s="142">
        <v>3427968</v>
      </c>
      <c r="H27" s="142">
        <f t="shared" si="0"/>
        <v>2156891</v>
      </c>
      <c r="I27" s="85">
        <v>124800</v>
      </c>
      <c r="J27" s="287"/>
    </row>
    <row r="28" spans="1:10" s="78" customFormat="1" ht="15" customHeight="1">
      <c r="A28" s="307" t="s">
        <v>693</v>
      </c>
      <c r="C28" s="306" t="s">
        <v>605</v>
      </c>
      <c r="D28" s="308" t="s">
        <v>487</v>
      </c>
      <c r="E28" s="309">
        <v>42415</v>
      </c>
      <c r="F28" s="142">
        <v>5431754</v>
      </c>
      <c r="G28" s="142">
        <v>5034540</v>
      </c>
      <c r="H28" s="142">
        <f t="shared" si="0"/>
        <v>397214</v>
      </c>
      <c r="I28" s="85">
        <v>248600</v>
      </c>
      <c r="J28" s="287"/>
    </row>
    <row r="29" spans="1:10" s="78" customFormat="1" ht="15.75" customHeight="1">
      <c r="A29" s="307" t="s">
        <v>694</v>
      </c>
      <c r="C29" s="306" t="s">
        <v>835</v>
      </c>
      <c r="D29" s="308" t="s">
        <v>488</v>
      </c>
      <c r="E29" s="309">
        <v>42505</v>
      </c>
      <c r="F29" s="142">
        <v>18823551</v>
      </c>
      <c r="G29" s="142">
        <v>18482298</v>
      </c>
      <c r="H29" s="142">
        <f t="shared" si="0"/>
        <v>341253</v>
      </c>
      <c r="I29" s="85">
        <v>383400</v>
      </c>
      <c r="J29" s="287"/>
    </row>
    <row r="30" spans="1:10" s="78" customFormat="1" ht="15" customHeight="1">
      <c r="A30" s="307" t="s">
        <v>1162</v>
      </c>
      <c r="C30" s="306" t="s">
        <v>823</v>
      </c>
      <c r="D30" s="308" t="s">
        <v>489</v>
      </c>
      <c r="E30" s="309">
        <v>42689</v>
      </c>
      <c r="F30" s="142">
        <v>18787448</v>
      </c>
      <c r="G30" s="142">
        <v>17485129</v>
      </c>
      <c r="H30" s="142">
        <f t="shared" si="0"/>
        <v>1302319</v>
      </c>
      <c r="I30" s="85">
        <v>76320</v>
      </c>
      <c r="J30" s="287"/>
    </row>
    <row r="31" spans="1:10" s="78" customFormat="1" ht="15" customHeight="1">
      <c r="A31" s="307" t="s">
        <v>696</v>
      </c>
      <c r="C31" s="306" t="s">
        <v>831</v>
      </c>
      <c r="D31" s="308" t="s">
        <v>490</v>
      </c>
      <c r="E31" s="309">
        <v>42870</v>
      </c>
      <c r="F31" s="142">
        <v>15559169</v>
      </c>
      <c r="G31" s="142">
        <v>8100402</v>
      </c>
      <c r="H31" s="142">
        <f t="shared" si="0"/>
        <v>7458767</v>
      </c>
      <c r="I31" s="85">
        <v>289440</v>
      </c>
      <c r="J31" s="287"/>
    </row>
    <row r="32" spans="1:10" s="78" customFormat="1" ht="15.75" customHeight="1">
      <c r="A32" s="307" t="s">
        <v>697</v>
      </c>
      <c r="C32" s="306" t="s">
        <v>115</v>
      </c>
      <c r="D32" s="308" t="s">
        <v>491</v>
      </c>
      <c r="E32" s="309">
        <v>42962</v>
      </c>
      <c r="F32" s="142">
        <v>10968358</v>
      </c>
      <c r="G32" s="142">
        <v>7355363</v>
      </c>
      <c r="H32" s="142">
        <f t="shared" si="0"/>
        <v>3612995</v>
      </c>
      <c r="I32" s="85">
        <v>16000</v>
      </c>
      <c r="J32" s="287"/>
    </row>
    <row r="33" spans="1:10" s="78" customFormat="1" ht="15" customHeight="1">
      <c r="A33" s="307" t="s">
        <v>1163</v>
      </c>
      <c r="C33" s="306" t="s">
        <v>806</v>
      </c>
      <c r="D33" s="308" t="s">
        <v>528</v>
      </c>
      <c r="E33" s="309">
        <v>43235</v>
      </c>
      <c r="F33" s="142">
        <v>6717439</v>
      </c>
      <c r="G33" s="142">
        <v>2648521</v>
      </c>
      <c r="H33" s="142">
        <f t="shared" si="0"/>
        <v>4068918</v>
      </c>
      <c r="I33" s="85">
        <v>175200</v>
      </c>
      <c r="J33" s="287"/>
    </row>
    <row r="34" spans="1:10" s="78" customFormat="1" ht="15" customHeight="1">
      <c r="A34" s="307" t="s">
        <v>699</v>
      </c>
      <c r="C34" s="306" t="s">
        <v>606</v>
      </c>
      <c r="D34" s="308" t="s">
        <v>529</v>
      </c>
      <c r="E34" s="309">
        <v>43419</v>
      </c>
      <c r="F34" s="142">
        <v>7174470</v>
      </c>
      <c r="G34" s="142">
        <v>3223298</v>
      </c>
      <c r="H34" s="142">
        <f t="shared" si="0"/>
        <v>3951172</v>
      </c>
      <c r="I34" s="85">
        <v>333400</v>
      </c>
      <c r="J34" s="287"/>
    </row>
    <row r="35" spans="1:10" s="78" customFormat="1" ht="15" customHeight="1">
      <c r="A35" s="307" t="s">
        <v>700</v>
      </c>
      <c r="C35" s="306" t="s">
        <v>115</v>
      </c>
      <c r="D35" s="308" t="s">
        <v>530</v>
      </c>
      <c r="E35" s="309">
        <v>43511</v>
      </c>
      <c r="F35" s="142">
        <v>13090498</v>
      </c>
      <c r="G35" s="142">
        <v>7412787</v>
      </c>
      <c r="H35" s="142">
        <f t="shared" si="0"/>
        <v>5677711</v>
      </c>
      <c r="I35" s="85">
        <v>793930</v>
      </c>
      <c r="J35" s="287"/>
    </row>
    <row r="36" spans="1:10" s="78" customFormat="1" ht="15" customHeight="1">
      <c r="A36" s="307" t="s">
        <v>701</v>
      </c>
      <c r="C36" s="306" t="s">
        <v>610</v>
      </c>
      <c r="D36" s="308" t="s">
        <v>531</v>
      </c>
      <c r="E36" s="309">
        <v>43692</v>
      </c>
      <c r="F36" s="142">
        <v>18940932</v>
      </c>
      <c r="G36" s="142">
        <v>17277362</v>
      </c>
      <c r="H36" s="142">
        <f t="shared" si="0"/>
        <v>1663570</v>
      </c>
      <c r="I36" s="85">
        <v>999640</v>
      </c>
      <c r="J36" s="287"/>
    </row>
    <row r="37" spans="1:10" s="78" customFormat="1" ht="14.25" customHeight="1">
      <c r="A37" s="307" t="s">
        <v>702</v>
      </c>
      <c r="C37" s="306" t="s">
        <v>829</v>
      </c>
      <c r="D37" s="308" t="s">
        <v>532</v>
      </c>
      <c r="E37" s="309">
        <v>43876</v>
      </c>
      <c r="F37" s="142">
        <v>9476268</v>
      </c>
      <c r="G37" s="142">
        <v>6725285</v>
      </c>
      <c r="H37" s="142">
        <f t="shared" si="0"/>
        <v>2750983</v>
      </c>
      <c r="I37" s="85">
        <v>835200</v>
      </c>
      <c r="J37" s="287"/>
    </row>
    <row r="38" spans="1:10" s="78" customFormat="1" ht="15" customHeight="1">
      <c r="A38" s="307" t="s">
        <v>703</v>
      </c>
      <c r="C38" s="306" t="s">
        <v>831</v>
      </c>
      <c r="D38" s="308" t="s">
        <v>533</v>
      </c>
      <c r="E38" s="309">
        <v>43966</v>
      </c>
      <c r="F38" s="142">
        <v>7582183</v>
      </c>
      <c r="G38" s="142">
        <v>3155656</v>
      </c>
      <c r="H38" s="142">
        <f t="shared" si="0"/>
        <v>4426527</v>
      </c>
      <c r="I38" s="85">
        <v>251240</v>
      </c>
      <c r="J38" s="287"/>
    </row>
    <row r="39" spans="1:10" s="78" customFormat="1" ht="15" customHeight="1">
      <c r="A39" s="307" t="s">
        <v>704</v>
      </c>
      <c r="C39" s="306" t="s">
        <v>831</v>
      </c>
      <c r="D39" s="308" t="s">
        <v>534</v>
      </c>
      <c r="E39" s="309">
        <v>44058</v>
      </c>
      <c r="F39" s="142">
        <v>17059306</v>
      </c>
      <c r="G39" s="142">
        <v>9862938</v>
      </c>
      <c r="H39" s="142">
        <f t="shared" si="0"/>
        <v>7196368</v>
      </c>
      <c r="I39" s="85">
        <v>573660</v>
      </c>
      <c r="J39" s="287"/>
    </row>
    <row r="40" spans="1:10" s="78" customFormat="1" ht="15" customHeight="1">
      <c r="A40" s="307" t="s">
        <v>705</v>
      </c>
      <c r="C40" s="306" t="s">
        <v>826</v>
      </c>
      <c r="D40" s="308" t="s">
        <v>538</v>
      </c>
      <c r="E40" s="309">
        <v>44242</v>
      </c>
      <c r="F40" s="142">
        <v>10075573</v>
      </c>
      <c r="G40" s="142">
        <v>8450989</v>
      </c>
      <c r="H40" s="142">
        <f t="shared" si="0"/>
        <v>1624584</v>
      </c>
      <c r="I40" s="85">
        <v>102400</v>
      </c>
      <c r="J40" s="287"/>
    </row>
    <row r="41" spans="1:10" s="78" customFormat="1" ht="15" customHeight="1">
      <c r="A41" s="307" t="s">
        <v>1164</v>
      </c>
      <c r="C41" s="306" t="s">
        <v>610</v>
      </c>
      <c r="D41" s="308" t="s">
        <v>539</v>
      </c>
      <c r="E41" s="309">
        <v>44331</v>
      </c>
      <c r="F41" s="142">
        <v>10066788</v>
      </c>
      <c r="G41" s="142">
        <v>4128921</v>
      </c>
      <c r="H41" s="142">
        <f t="shared" si="0"/>
        <v>5937867</v>
      </c>
      <c r="I41" s="85">
        <v>369160</v>
      </c>
      <c r="J41" s="287"/>
    </row>
    <row r="42" spans="1:10" s="78" customFormat="1" ht="15" customHeight="1">
      <c r="A42" s="307" t="s">
        <v>707</v>
      </c>
      <c r="C42" s="306" t="s">
        <v>610</v>
      </c>
      <c r="D42" s="308" t="s">
        <v>540</v>
      </c>
      <c r="E42" s="309">
        <v>44423</v>
      </c>
      <c r="F42" s="142">
        <v>9506382</v>
      </c>
      <c r="G42" s="142">
        <v>6520047</v>
      </c>
      <c r="H42" s="142">
        <f t="shared" si="0"/>
        <v>2986335</v>
      </c>
      <c r="I42" s="85">
        <v>442640</v>
      </c>
      <c r="J42" s="287"/>
    </row>
    <row r="43" spans="1:10" s="78" customFormat="1" ht="15" customHeight="1">
      <c r="A43" s="307" t="s">
        <v>708</v>
      </c>
      <c r="C43" s="306" t="s">
        <v>817</v>
      </c>
      <c r="D43" s="308" t="s">
        <v>541</v>
      </c>
      <c r="E43" s="309">
        <v>44515</v>
      </c>
      <c r="F43" s="142">
        <v>30632194</v>
      </c>
      <c r="G43" s="142">
        <v>15693746</v>
      </c>
      <c r="H43" s="142">
        <f t="shared" si="0"/>
        <v>14938448</v>
      </c>
      <c r="I43" s="85">
        <v>2460850</v>
      </c>
      <c r="J43" s="287"/>
    </row>
    <row r="44" spans="1:10" s="78" customFormat="1" ht="15" customHeight="1">
      <c r="A44" s="307" t="s">
        <v>709</v>
      </c>
      <c r="C44" s="306" t="s">
        <v>835</v>
      </c>
      <c r="D44" s="308" t="s">
        <v>542</v>
      </c>
      <c r="E44" s="309">
        <v>44788</v>
      </c>
      <c r="F44" s="142">
        <v>10127790</v>
      </c>
      <c r="G44" s="142">
        <v>8278430</v>
      </c>
      <c r="H44" s="142">
        <f t="shared" si="0"/>
        <v>1849360</v>
      </c>
      <c r="I44" s="85">
        <v>406800</v>
      </c>
      <c r="J44" s="287"/>
    </row>
    <row r="45" spans="1:10" s="78" customFormat="1" ht="15" customHeight="1">
      <c r="A45" s="307" t="s">
        <v>710</v>
      </c>
      <c r="C45" s="306" t="s">
        <v>838</v>
      </c>
      <c r="D45" s="308" t="s">
        <v>543</v>
      </c>
      <c r="E45" s="309">
        <v>44880</v>
      </c>
      <c r="F45" s="142">
        <v>7423626</v>
      </c>
      <c r="G45" s="142">
        <v>4026819</v>
      </c>
      <c r="H45" s="142">
        <f t="shared" si="0"/>
        <v>3396807</v>
      </c>
      <c r="I45" s="85">
        <v>1267200</v>
      </c>
      <c r="J45" s="287"/>
    </row>
    <row r="46" spans="1:10" s="78" customFormat="1" ht="15" customHeight="1">
      <c r="A46" s="307" t="s">
        <v>1165</v>
      </c>
      <c r="C46" s="306" t="s">
        <v>820</v>
      </c>
      <c r="D46" s="308" t="s">
        <v>544</v>
      </c>
      <c r="E46" s="309">
        <v>44972</v>
      </c>
      <c r="F46" s="142">
        <v>15782061</v>
      </c>
      <c r="G46" s="142">
        <v>9783289</v>
      </c>
      <c r="H46" s="142">
        <f t="shared" si="0"/>
        <v>5998772</v>
      </c>
      <c r="I46" s="85">
        <v>955300</v>
      </c>
      <c r="J46" s="287"/>
    </row>
    <row r="47" spans="1:10" s="78" customFormat="1" ht="15" customHeight="1">
      <c r="A47" s="307" t="s">
        <v>712</v>
      </c>
      <c r="C47" s="306" t="s">
        <v>798</v>
      </c>
      <c r="D47" s="308" t="s">
        <v>545</v>
      </c>
      <c r="E47" s="309">
        <v>45153</v>
      </c>
      <c r="F47" s="142">
        <v>22659044</v>
      </c>
      <c r="G47" s="142">
        <v>19605851</v>
      </c>
      <c r="H47" s="142">
        <f t="shared" si="0"/>
        <v>3053193</v>
      </c>
      <c r="I47" s="85">
        <v>534304</v>
      </c>
      <c r="J47" s="287"/>
    </row>
    <row r="48" spans="1:10" s="78" customFormat="1" ht="15" customHeight="1">
      <c r="A48" s="307" t="s">
        <v>713</v>
      </c>
      <c r="C48" s="306" t="s">
        <v>823</v>
      </c>
      <c r="D48" s="308" t="s">
        <v>546</v>
      </c>
      <c r="E48" s="309">
        <v>45611</v>
      </c>
      <c r="F48" s="142">
        <v>9604162</v>
      </c>
      <c r="G48" s="142">
        <v>3760659</v>
      </c>
      <c r="H48" s="142">
        <f t="shared" si="0"/>
        <v>5843503</v>
      </c>
      <c r="I48" s="85">
        <v>533960</v>
      </c>
      <c r="J48" s="287"/>
    </row>
    <row r="49" spans="1:10" s="78" customFormat="1" ht="15" customHeight="1">
      <c r="A49" s="307" t="s">
        <v>714</v>
      </c>
      <c r="C49" s="306" t="s">
        <v>838</v>
      </c>
      <c r="D49" s="308" t="s">
        <v>547</v>
      </c>
      <c r="E49" s="309">
        <v>45703</v>
      </c>
      <c r="F49" s="142">
        <v>9509170</v>
      </c>
      <c r="G49" s="142">
        <v>3261493</v>
      </c>
      <c r="H49" s="142">
        <f t="shared" si="0"/>
        <v>6247677</v>
      </c>
      <c r="I49" s="85">
        <v>422600</v>
      </c>
      <c r="J49" s="287"/>
    </row>
    <row r="50" spans="1:10" s="78" customFormat="1" ht="15" customHeight="1">
      <c r="A50" s="307" t="s">
        <v>715</v>
      </c>
      <c r="C50" s="306" t="s">
        <v>815</v>
      </c>
      <c r="D50" s="308" t="s">
        <v>548</v>
      </c>
      <c r="E50" s="309">
        <v>45884</v>
      </c>
      <c r="F50" s="142">
        <v>11187207</v>
      </c>
      <c r="G50" s="142">
        <v>5875165</v>
      </c>
      <c r="H50" s="142">
        <f t="shared" si="0"/>
        <v>5312042</v>
      </c>
      <c r="I50" s="85">
        <v>632340</v>
      </c>
      <c r="J50" s="287"/>
    </row>
    <row r="51" spans="1:10" s="78" customFormat="1" ht="15" customHeight="1">
      <c r="A51" s="307" t="s">
        <v>716</v>
      </c>
      <c r="C51" s="306" t="s">
        <v>812</v>
      </c>
      <c r="D51" s="308" t="s">
        <v>549</v>
      </c>
      <c r="E51" s="309">
        <v>46068</v>
      </c>
      <c r="F51" s="142">
        <v>12837916</v>
      </c>
      <c r="G51" s="142">
        <v>12090972</v>
      </c>
      <c r="H51" s="142">
        <f t="shared" si="0"/>
        <v>746944</v>
      </c>
      <c r="I51" s="85">
        <v>107500</v>
      </c>
      <c r="J51" s="287"/>
    </row>
    <row r="52" spans="1:10" s="78" customFormat="1" ht="15" customHeight="1">
      <c r="A52" s="307" t="s">
        <v>717</v>
      </c>
      <c r="C52" s="310">
        <v>6.75</v>
      </c>
      <c r="D52" s="308" t="s">
        <v>550</v>
      </c>
      <c r="E52" s="309">
        <v>46249</v>
      </c>
      <c r="F52" s="142">
        <v>8810418</v>
      </c>
      <c r="G52" s="142">
        <v>5265126</v>
      </c>
      <c r="H52" s="142">
        <f t="shared" si="0"/>
        <v>3545292</v>
      </c>
      <c r="I52" s="85">
        <v>641400</v>
      </c>
      <c r="J52" s="287"/>
    </row>
    <row r="53" spans="1:10" s="78" customFormat="1" ht="14.25" customHeight="1">
      <c r="A53" s="307" t="s">
        <v>1166</v>
      </c>
      <c r="C53" s="306" t="s">
        <v>803</v>
      </c>
      <c r="D53" s="308" t="s">
        <v>551</v>
      </c>
      <c r="E53" s="309">
        <v>46341</v>
      </c>
      <c r="F53" s="142">
        <v>10860177</v>
      </c>
      <c r="G53" s="142">
        <v>4616265</v>
      </c>
      <c r="H53" s="142">
        <f t="shared" si="0"/>
        <v>6243912</v>
      </c>
      <c r="I53" s="85">
        <v>486600</v>
      </c>
      <c r="J53" s="287"/>
    </row>
    <row r="54" spans="1:9" s="78" customFormat="1" ht="15" customHeight="1">
      <c r="A54" s="307" t="s">
        <v>718</v>
      </c>
      <c r="C54" s="311" t="s">
        <v>833</v>
      </c>
      <c r="D54" s="308" t="s">
        <v>552</v>
      </c>
      <c r="E54" s="309">
        <v>46433</v>
      </c>
      <c r="F54" s="142">
        <v>9521971</v>
      </c>
      <c r="G54" s="142">
        <v>4637027</v>
      </c>
      <c r="H54" s="142">
        <f t="shared" si="0"/>
        <v>4884944</v>
      </c>
      <c r="I54" s="85">
        <v>103000</v>
      </c>
    </row>
    <row r="55" spans="1:9" s="78" customFormat="1" ht="15" customHeight="1">
      <c r="A55" s="307" t="s">
        <v>719</v>
      </c>
      <c r="C55" s="311" t="s">
        <v>109</v>
      </c>
      <c r="D55" s="308" t="s">
        <v>553</v>
      </c>
      <c r="E55" s="309">
        <v>46614</v>
      </c>
      <c r="F55" s="142">
        <v>9196756</v>
      </c>
      <c r="G55" s="142">
        <v>5455867</v>
      </c>
      <c r="H55" s="142">
        <f t="shared" si="0"/>
        <v>3740889</v>
      </c>
      <c r="I55" s="85">
        <v>152200</v>
      </c>
    </row>
    <row r="56" spans="1:9" s="78" customFormat="1" ht="14.25" customHeight="1">
      <c r="A56" s="307" t="s">
        <v>720</v>
      </c>
      <c r="C56" s="311" t="s">
        <v>830</v>
      </c>
      <c r="D56" s="308" t="s">
        <v>554</v>
      </c>
      <c r="E56" s="309">
        <v>46706</v>
      </c>
      <c r="F56" s="142">
        <v>22021339</v>
      </c>
      <c r="G56" s="142">
        <v>8472185</v>
      </c>
      <c r="H56" s="142">
        <f t="shared" si="0"/>
        <v>13549154</v>
      </c>
      <c r="I56" s="85">
        <v>1505345</v>
      </c>
    </row>
    <row r="57" spans="1:9" s="78" customFormat="1" ht="15" customHeight="1">
      <c r="A57" s="278" t="s">
        <v>721</v>
      </c>
      <c r="C57" s="311" t="s">
        <v>794</v>
      </c>
      <c r="D57" s="312" t="s">
        <v>555</v>
      </c>
      <c r="E57" s="309">
        <v>46980</v>
      </c>
      <c r="F57" s="142">
        <v>11776201</v>
      </c>
      <c r="G57" s="142">
        <v>10535591</v>
      </c>
      <c r="H57" s="142">
        <f t="shared" si="0"/>
        <v>1240610</v>
      </c>
      <c r="I57" s="85">
        <v>76850</v>
      </c>
    </row>
    <row r="58" spans="1:9" s="78" customFormat="1" ht="15" customHeight="1">
      <c r="A58" s="278" t="s">
        <v>722</v>
      </c>
      <c r="C58" s="311" t="s">
        <v>832</v>
      </c>
      <c r="D58" s="312" t="s">
        <v>556</v>
      </c>
      <c r="E58" s="309">
        <v>47072</v>
      </c>
      <c r="F58" s="142">
        <v>10947052</v>
      </c>
      <c r="G58" s="142">
        <v>10118528</v>
      </c>
      <c r="H58" s="142">
        <f>SUM(F58-G58)</f>
        <v>828524</v>
      </c>
      <c r="I58" s="85">
        <v>224800</v>
      </c>
    </row>
    <row r="59" spans="1:10" s="78" customFormat="1" ht="15" customHeight="1">
      <c r="A59" s="278" t="s">
        <v>723</v>
      </c>
      <c r="C59" s="311" t="s">
        <v>832</v>
      </c>
      <c r="D59" s="312" t="s">
        <v>751</v>
      </c>
      <c r="E59" s="309">
        <v>47164</v>
      </c>
      <c r="F59" s="142">
        <v>11350341</v>
      </c>
      <c r="G59" s="142">
        <v>10434145</v>
      </c>
      <c r="H59" s="142">
        <f>SUM(F59-G59)</f>
        <v>916196</v>
      </c>
      <c r="I59" s="85">
        <v>191700</v>
      </c>
      <c r="J59" s="385"/>
    </row>
    <row r="60" spans="1:9" s="78" customFormat="1" ht="15" customHeight="1">
      <c r="A60" s="278" t="s">
        <v>724</v>
      </c>
      <c r="C60" s="311" t="s">
        <v>830</v>
      </c>
      <c r="D60" s="308" t="s">
        <v>760</v>
      </c>
      <c r="E60" s="309">
        <v>47345</v>
      </c>
      <c r="F60" s="142">
        <v>11178580</v>
      </c>
      <c r="G60" s="142">
        <v>9792383</v>
      </c>
      <c r="H60" s="142">
        <f>SUM(F60-G60)</f>
        <v>1386197</v>
      </c>
      <c r="I60" s="85">
        <v>283000</v>
      </c>
    </row>
    <row r="61" spans="1:9" s="78" customFormat="1" ht="15" customHeight="1">
      <c r="A61" s="278" t="s">
        <v>725</v>
      </c>
      <c r="C61" s="306" t="s">
        <v>798</v>
      </c>
      <c r="D61" s="308" t="s">
        <v>413</v>
      </c>
      <c r="E61" s="309">
        <v>47618</v>
      </c>
      <c r="F61" s="142">
        <v>17043162</v>
      </c>
      <c r="G61" s="142">
        <v>11692273</v>
      </c>
      <c r="H61" s="142">
        <f>SUM(F61-G61)</f>
        <v>5350889</v>
      </c>
      <c r="I61" s="85">
        <v>191276</v>
      </c>
    </row>
    <row r="62" spans="1:9" s="78" customFormat="1" ht="15" customHeight="1">
      <c r="A62" s="307" t="s">
        <v>764</v>
      </c>
      <c r="C62" s="311" t="s">
        <v>828</v>
      </c>
      <c r="D62" s="308" t="s">
        <v>1168</v>
      </c>
      <c r="E62" s="309">
        <v>47894</v>
      </c>
      <c r="F62" s="142">
        <v>16427648</v>
      </c>
      <c r="G62" s="142">
        <v>16218048</v>
      </c>
      <c r="H62" s="142">
        <f>SUM(F62-G62)</f>
        <v>209600</v>
      </c>
      <c r="I62" s="85">
        <v>0</v>
      </c>
    </row>
    <row r="63" spans="4:9" s="78" customFormat="1" ht="14.25" customHeight="1">
      <c r="D63" s="313"/>
      <c r="E63" s="314"/>
      <c r="F63" s="313"/>
      <c r="G63" s="313"/>
      <c r="H63" s="313"/>
      <c r="I63" s="85"/>
    </row>
    <row r="64" spans="1:9" s="78" customFormat="1" ht="15" customHeight="1">
      <c r="A64" s="284" t="s">
        <v>917</v>
      </c>
      <c r="B64" s="306"/>
      <c r="C64" s="311"/>
      <c r="D64" s="308" t="s">
        <v>1004</v>
      </c>
      <c r="E64" s="315"/>
      <c r="F64" s="142">
        <f>SUM(F20:F63)</f>
        <v>499889485</v>
      </c>
      <c r="G64" s="142">
        <f>SUM(G20:G63)</f>
        <v>339972272</v>
      </c>
      <c r="H64" s="142">
        <f>SUM(H20:H63)</f>
        <v>159917213</v>
      </c>
      <c r="I64" s="85">
        <f>SUM(I20:I63)</f>
        <v>17691547</v>
      </c>
    </row>
    <row r="65" spans="1:9" s="78" customFormat="1" ht="12.75" customHeight="1">
      <c r="A65" s="284"/>
      <c r="B65" s="306"/>
      <c r="C65" s="311"/>
      <c r="D65" s="316"/>
      <c r="E65" s="317"/>
      <c r="F65" s="318"/>
      <c r="G65" s="318"/>
      <c r="H65" s="318"/>
      <c r="I65" s="85"/>
    </row>
    <row r="66" spans="1:10" s="78" customFormat="1" ht="14.25" customHeight="1">
      <c r="A66" s="140" t="s">
        <v>611</v>
      </c>
      <c r="D66" s="82"/>
      <c r="E66" s="319"/>
      <c r="F66" s="142"/>
      <c r="G66" s="142"/>
      <c r="H66" s="142"/>
      <c r="I66" s="85"/>
      <c r="J66" s="287"/>
    </row>
    <row r="67" spans="1:10" s="78" customFormat="1" ht="15" customHeight="1">
      <c r="A67" s="140" t="s">
        <v>96</v>
      </c>
      <c r="B67" s="77" t="s">
        <v>103</v>
      </c>
      <c r="C67" s="306" t="s">
        <v>104</v>
      </c>
      <c r="D67" s="82"/>
      <c r="E67" s="319"/>
      <c r="F67" s="142"/>
      <c r="G67" s="142"/>
      <c r="H67" s="142"/>
      <c r="I67" s="85"/>
      <c r="J67" s="287"/>
    </row>
    <row r="68" spans="1:9" s="78" customFormat="1" ht="15" customHeight="1">
      <c r="A68" s="307" t="s">
        <v>1185</v>
      </c>
      <c r="B68" s="306" t="s">
        <v>114</v>
      </c>
      <c r="C68" s="311" t="s">
        <v>613</v>
      </c>
      <c r="D68" s="308" t="s">
        <v>1118</v>
      </c>
      <c r="E68" s="309">
        <v>39097</v>
      </c>
      <c r="F68" s="142">
        <v>18417128.606</v>
      </c>
      <c r="G68" s="142">
        <v>18417128.606</v>
      </c>
      <c r="H68" s="142">
        <f aca="true" t="shared" si="1" ref="H68:H75">SUM(F68-G68)</f>
        <v>0</v>
      </c>
      <c r="I68" s="85">
        <v>0</v>
      </c>
    </row>
    <row r="69" spans="1:9" s="78" customFormat="1" ht="15" customHeight="1">
      <c r="A69" s="307" t="s">
        <v>726</v>
      </c>
      <c r="B69" s="306" t="s">
        <v>114</v>
      </c>
      <c r="C69" s="311" t="s">
        <v>612</v>
      </c>
      <c r="D69" s="308" t="s">
        <v>575</v>
      </c>
      <c r="E69" s="315">
        <v>39462</v>
      </c>
      <c r="F69" s="142">
        <v>19269062.379</v>
      </c>
      <c r="G69" s="142">
        <v>19154444.379</v>
      </c>
      <c r="H69" s="142">
        <f t="shared" si="1"/>
        <v>114618</v>
      </c>
      <c r="I69" s="85">
        <v>0</v>
      </c>
    </row>
    <row r="70" spans="1:9" s="78" customFormat="1" ht="15" customHeight="1">
      <c r="A70" s="307" t="s">
        <v>1147</v>
      </c>
      <c r="B70" s="306" t="s">
        <v>114</v>
      </c>
      <c r="C70" s="311" t="s">
        <v>417</v>
      </c>
      <c r="D70" s="308" t="s">
        <v>418</v>
      </c>
      <c r="E70" s="315">
        <v>39828</v>
      </c>
      <c r="F70" s="142">
        <v>17955237.429</v>
      </c>
      <c r="G70" s="142">
        <v>17955237.429</v>
      </c>
      <c r="H70" s="142">
        <f t="shared" si="1"/>
        <v>0</v>
      </c>
      <c r="I70" s="85">
        <v>0</v>
      </c>
    </row>
    <row r="71" spans="1:9" s="78" customFormat="1" ht="15" customHeight="1">
      <c r="A71" s="307" t="s">
        <v>1155</v>
      </c>
      <c r="B71" s="306" t="s">
        <v>114</v>
      </c>
      <c r="C71" s="311" t="s">
        <v>834</v>
      </c>
      <c r="D71" s="308" t="s">
        <v>1012</v>
      </c>
      <c r="E71" s="315">
        <v>40193</v>
      </c>
      <c r="F71" s="142">
        <v>12459851.878</v>
      </c>
      <c r="G71" s="142">
        <v>12459851.878</v>
      </c>
      <c r="H71" s="142">
        <f t="shared" si="1"/>
        <v>0</v>
      </c>
      <c r="I71" s="85">
        <v>0</v>
      </c>
    </row>
    <row r="72" spans="1:9" s="78" customFormat="1" ht="15" customHeight="1">
      <c r="A72" s="307" t="s">
        <v>617</v>
      </c>
      <c r="B72" s="306" t="s">
        <v>114</v>
      </c>
      <c r="C72" s="311" t="s">
        <v>618</v>
      </c>
      <c r="D72" s="308" t="s">
        <v>447</v>
      </c>
      <c r="E72" s="315">
        <v>40558</v>
      </c>
      <c r="F72" s="142">
        <v>11704222.2221</v>
      </c>
      <c r="G72" s="142">
        <v>11704222.221</v>
      </c>
      <c r="H72" s="142">
        <f t="shared" si="1"/>
        <v>0.0010999999940395355</v>
      </c>
      <c r="I72" s="85">
        <v>0</v>
      </c>
    </row>
    <row r="73" spans="1:9" s="78" customFormat="1" ht="15" customHeight="1">
      <c r="A73" s="307" t="s">
        <v>869</v>
      </c>
      <c r="B73" s="306" t="s">
        <v>114</v>
      </c>
      <c r="C73" s="311" t="s">
        <v>613</v>
      </c>
      <c r="D73" s="308" t="s">
        <v>875</v>
      </c>
      <c r="E73" s="315">
        <v>40923</v>
      </c>
      <c r="F73" s="142">
        <v>6261506.484</v>
      </c>
      <c r="G73" s="142">
        <v>6261506.484</v>
      </c>
      <c r="H73" s="142">
        <f>SUM(F73-G73)</f>
        <v>0</v>
      </c>
      <c r="I73" s="85">
        <v>0</v>
      </c>
    </row>
    <row r="74" spans="1:9" s="78" customFormat="1" ht="15" customHeight="1">
      <c r="A74" s="307" t="s">
        <v>505</v>
      </c>
      <c r="B74" s="306" t="s">
        <v>816</v>
      </c>
      <c r="C74" s="311">
        <v>3</v>
      </c>
      <c r="D74" s="308" t="s">
        <v>1189</v>
      </c>
      <c r="E74" s="315">
        <v>41105</v>
      </c>
      <c r="F74" s="142">
        <v>23705239.729</v>
      </c>
      <c r="G74" s="142">
        <v>23705239.729</v>
      </c>
      <c r="H74" s="142">
        <f>SUM(F74-G74)</f>
        <v>0</v>
      </c>
      <c r="I74" s="85">
        <v>0</v>
      </c>
    </row>
    <row r="75" spans="1:9" s="78" customFormat="1" ht="15" customHeight="1">
      <c r="A75" s="307" t="s">
        <v>135</v>
      </c>
      <c r="B75" s="306" t="s">
        <v>816</v>
      </c>
      <c r="C75" s="311" t="s">
        <v>60</v>
      </c>
      <c r="D75" s="308" t="s">
        <v>136</v>
      </c>
      <c r="E75" s="315">
        <v>41470</v>
      </c>
      <c r="F75" s="142">
        <v>20172387.216</v>
      </c>
      <c r="G75" s="142">
        <v>20172387.216</v>
      </c>
      <c r="H75" s="142">
        <f t="shared" si="1"/>
        <v>0</v>
      </c>
      <c r="I75" s="85">
        <v>0</v>
      </c>
    </row>
    <row r="76" spans="1:9" s="78" customFormat="1" ht="14.25" customHeight="1">
      <c r="A76" s="307" t="s">
        <v>16</v>
      </c>
      <c r="B76" s="306" t="s">
        <v>114</v>
      </c>
      <c r="C76" s="311">
        <v>2</v>
      </c>
      <c r="D76" s="308" t="s">
        <v>17</v>
      </c>
      <c r="E76" s="315">
        <v>41654</v>
      </c>
      <c r="F76" s="142">
        <v>12026086.615</v>
      </c>
      <c r="G76" s="142">
        <v>12026086.615</v>
      </c>
      <c r="H76" s="142">
        <f>SUM(F76-G76)</f>
        <v>0</v>
      </c>
      <c r="I76" s="85">
        <v>0</v>
      </c>
    </row>
    <row r="77" spans="1:9" s="78" customFormat="1" ht="15" customHeight="1">
      <c r="A77" s="307"/>
      <c r="B77" s="306"/>
      <c r="C77" s="311"/>
      <c r="D77" s="308"/>
      <c r="E77" s="315"/>
      <c r="F77" s="142"/>
      <c r="G77" s="142"/>
      <c r="H77" s="142"/>
      <c r="I77" s="85"/>
    </row>
    <row r="78" spans="1:9" s="78" customFormat="1" ht="15" customHeight="1">
      <c r="A78" s="284" t="s">
        <v>251</v>
      </c>
      <c r="B78" s="306"/>
      <c r="C78" s="311"/>
      <c r="D78" s="308" t="s">
        <v>1004</v>
      </c>
      <c r="E78" s="315"/>
      <c r="F78" s="142">
        <f>SUM(F68:F77)</f>
        <v>141970722.55810001</v>
      </c>
      <c r="G78" s="142">
        <f>SUM(G68:G77)</f>
        <v>141856104.557</v>
      </c>
      <c r="H78" s="142">
        <f>SUM(H68:H77)</f>
        <v>114618.0011</v>
      </c>
      <c r="I78" s="85">
        <v>0</v>
      </c>
    </row>
    <row r="79" spans="1:9" s="78" customFormat="1" ht="15" customHeight="1">
      <c r="A79" s="284"/>
      <c r="B79" s="306"/>
      <c r="C79" s="311"/>
      <c r="D79" s="308"/>
      <c r="E79" s="315"/>
      <c r="F79" s="142"/>
      <c r="G79" s="142"/>
      <c r="H79" s="142"/>
      <c r="I79" s="85"/>
    </row>
    <row r="80" spans="1:9" s="78" customFormat="1" ht="15" customHeight="1">
      <c r="A80" s="140" t="s">
        <v>614</v>
      </c>
      <c r="D80" s="82"/>
      <c r="E80" s="319"/>
      <c r="F80" s="142"/>
      <c r="G80" s="142"/>
      <c r="H80" s="142"/>
      <c r="I80" s="85"/>
    </row>
    <row r="81" spans="1:9" s="78" customFormat="1" ht="15" customHeight="1">
      <c r="A81" s="140" t="s">
        <v>96</v>
      </c>
      <c r="B81" s="77"/>
      <c r="C81" s="306" t="s">
        <v>104</v>
      </c>
      <c r="D81" s="82"/>
      <c r="E81" s="319"/>
      <c r="F81" s="142"/>
      <c r="G81" s="142"/>
      <c r="H81" s="142"/>
      <c r="I81" s="85"/>
    </row>
    <row r="82" spans="1:9" s="78" customFormat="1" ht="15" customHeight="1">
      <c r="A82" s="307" t="s">
        <v>1156</v>
      </c>
      <c r="B82" s="306"/>
      <c r="C82" s="311" t="s">
        <v>612</v>
      </c>
      <c r="D82" s="308" t="s">
        <v>576</v>
      </c>
      <c r="E82" s="309">
        <v>46858</v>
      </c>
      <c r="F82" s="142">
        <v>19214900.458</v>
      </c>
      <c r="G82" s="142">
        <v>19209176.108</v>
      </c>
      <c r="H82" s="142">
        <f>SUM(F82-G82)</f>
        <v>5724.35000000149</v>
      </c>
      <c r="I82" s="85">
        <v>0</v>
      </c>
    </row>
    <row r="83" spans="1:9" s="78" customFormat="1" ht="15" customHeight="1">
      <c r="A83" s="307" t="s">
        <v>1157</v>
      </c>
      <c r="B83" s="306"/>
      <c r="C83" s="311" t="s">
        <v>417</v>
      </c>
      <c r="D83" s="308" t="s">
        <v>1008</v>
      </c>
      <c r="E83" s="309">
        <v>47223</v>
      </c>
      <c r="F83" s="142">
        <v>21961117.697</v>
      </c>
      <c r="G83" s="142">
        <v>21820318.947</v>
      </c>
      <c r="H83" s="142">
        <f>SUM(F83-G83)</f>
        <v>140798.75</v>
      </c>
      <c r="I83" s="85">
        <v>0</v>
      </c>
    </row>
    <row r="84" spans="1:9" s="78" customFormat="1" ht="15" customHeight="1">
      <c r="A84" s="307" t="s">
        <v>247</v>
      </c>
      <c r="B84" s="306"/>
      <c r="C84" s="329" t="s">
        <v>613</v>
      </c>
      <c r="D84" s="308" t="s">
        <v>248</v>
      </c>
      <c r="E84" s="309">
        <v>48319</v>
      </c>
      <c r="F84" s="142">
        <v>5228863.796</v>
      </c>
      <c r="G84" s="142">
        <v>5228863.796</v>
      </c>
      <c r="H84" s="142">
        <f>SUM(F84-G84)</f>
        <v>0</v>
      </c>
      <c r="I84" s="85">
        <v>0</v>
      </c>
    </row>
    <row r="85" spans="1:9" s="78" customFormat="1" ht="15" customHeight="1">
      <c r="A85" s="307"/>
      <c r="B85" s="306"/>
      <c r="C85" s="311"/>
      <c r="D85" s="308"/>
      <c r="E85" s="320"/>
      <c r="F85" s="142"/>
      <c r="G85" s="142"/>
      <c r="H85" s="142"/>
      <c r="I85" s="85"/>
    </row>
    <row r="86" spans="1:9" s="78" customFormat="1" ht="15" customHeight="1">
      <c r="A86" s="284" t="s">
        <v>577</v>
      </c>
      <c r="B86" s="306"/>
      <c r="C86" s="311"/>
      <c r="D86" s="308" t="s">
        <v>1004</v>
      </c>
      <c r="E86" s="321"/>
      <c r="F86" s="142">
        <f>SUM(F80:F84)</f>
        <v>46404881.951000005</v>
      </c>
      <c r="G86" s="142">
        <f>SUM(G80:G84)</f>
        <v>46258358.850999996</v>
      </c>
      <c r="H86" s="322">
        <f>SUM(H79:H84)</f>
        <v>146523.1000000015</v>
      </c>
      <c r="I86" s="85">
        <f>SUM(I82:I84)</f>
        <v>0</v>
      </c>
    </row>
    <row r="87" spans="1:9" s="78" customFormat="1" ht="15" customHeight="1">
      <c r="A87" s="284"/>
      <c r="B87" s="306"/>
      <c r="C87" s="311"/>
      <c r="D87" s="431"/>
      <c r="E87" s="432"/>
      <c r="F87" s="179"/>
      <c r="G87" s="179"/>
      <c r="H87" s="179"/>
      <c r="I87" s="179"/>
    </row>
    <row r="88" spans="1:9" s="78" customFormat="1" ht="15" customHeight="1">
      <c r="A88" s="284"/>
      <c r="B88" s="306"/>
      <c r="C88" s="311"/>
      <c r="D88" s="431"/>
      <c r="E88" s="432"/>
      <c r="F88" s="179"/>
      <c r="G88" s="179"/>
      <c r="H88" s="179"/>
      <c r="I88" s="179"/>
    </row>
    <row r="89" spans="1:9" s="110" customFormat="1" ht="15" customHeight="1" thickBot="1">
      <c r="A89" s="323"/>
      <c r="B89" s="324"/>
      <c r="C89" s="325"/>
      <c r="D89" s="326"/>
      <c r="E89" s="327"/>
      <c r="F89" s="328"/>
      <c r="G89" s="328"/>
      <c r="H89" s="328"/>
      <c r="I89" s="328"/>
    </row>
    <row r="90" spans="1:10" s="78" customFormat="1" ht="16.5" thickTop="1">
      <c r="A90" s="75"/>
      <c r="B90" s="76" t="s">
        <v>307</v>
      </c>
      <c r="C90" s="76"/>
      <c r="D90" s="76"/>
      <c r="E90" s="77"/>
      <c r="F90" s="77"/>
      <c r="G90" s="77"/>
      <c r="H90" s="77"/>
      <c r="I90" s="77"/>
      <c r="J90" s="75">
        <v>11</v>
      </c>
    </row>
    <row r="91" spans="1:10" s="78" customFormat="1" ht="10.5" customHeight="1" thickBo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</row>
    <row r="92" spans="1:10" s="78" customFormat="1" ht="15" customHeight="1" thickTop="1">
      <c r="A92" s="79"/>
      <c r="B92" s="79"/>
      <c r="C92" s="79"/>
      <c r="D92" s="80"/>
      <c r="E92" s="80"/>
      <c r="F92" s="80"/>
      <c r="G92" s="79"/>
      <c r="H92" s="79"/>
      <c r="I92" s="81"/>
      <c r="J92" s="79"/>
    </row>
    <row r="93" spans="4:10" s="78" customFormat="1" ht="15" customHeight="1">
      <c r="D93" s="297" t="s">
        <v>419</v>
      </c>
      <c r="E93" s="82"/>
      <c r="F93" s="298" t="s">
        <v>444</v>
      </c>
      <c r="G93" s="77"/>
      <c r="H93" s="77"/>
      <c r="I93" s="273"/>
      <c r="J93" s="287"/>
    </row>
    <row r="94" spans="1:10" s="78" customFormat="1" ht="15" customHeight="1">
      <c r="A94" s="77" t="s">
        <v>338</v>
      </c>
      <c r="B94" s="77"/>
      <c r="C94" s="77"/>
      <c r="D94" s="297" t="s">
        <v>420</v>
      </c>
      <c r="E94" s="297" t="s">
        <v>421</v>
      </c>
      <c r="F94" s="82"/>
      <c r="I94" s="299" t="s">
        <v>466</v>
      </c>
      <c r="J94" s="288"/>
    </row>
    <row r="95" spans="4:10" s="78" customFormat="1" ht="15" customHeight="1">
      <c r="D95" s="297" t="s">
        <v>473</v>
      </c>
      <c r="E95" s="82"/>
      <c r="F95" s="300" t="s">
        <v>474</v>
      </c>
      <c r="G95" s="300" t="s">
        <v>475</v>
      </c>
      <c r="H95" s="300" t="s">
        <v>475</v>
      </c>
      <c r="I95" s="301" t="s">
        <v>467</v>
      </c>
      <c r="J95" s="66"/>
    </row>
    <row r="96" spans="1:10" s="78" customFormat="1" ht="15" customHeight="1">
      <c r="A96" s="83"/>
      <c r="B96" s="83"/>
      <c r="C96" s="83"/>
      <c r="D96" s="84"/>
      <c r="E96" s="84"/>
      <c r="F96" s="302" t="s">
        <v>1007</v>
      </c>
      <c r="G96" s="303" t="s">
        <v>476</v>
      </c>
      <c r="H96" s="303" t="s">
        <v>477</v>
      </c>
      <c r="I96" s="304"/>
      <c r="J96" s="296"/>
    </row>
    <row r="97" spans="1:10" s="78" customFormat="1" ht="14.25" customHeight="1">
      <c r="A97" s="124"/>
      <c r="B97" s="124"/>
      <c r="C97" s="124"/>
      <c r="D97" s="82"/>
      <c r="E97" s="82"/>
      <c r="F97" s="305"/>
      <c r="G97" s="297"/>
      <c r="H97" s="297"/>
      <c r="I97" s="85"/>
      <c r="J97" s="290"/>
    </row>
    <row r="98" spans="1:10" s="78" customFormat="1" ht="14.25" customHeight="1">
      <c r="A98" s="140" t="s">
        <v>102</v>
      </c>
      <c r="D98" s="82"/>
      <c r="E98" s="82"/>
      <c r="F98" s="82"/>
      <c r="G98" s="82"/>
      <c r="H98" s="82"/>
      <c r="I98" s="85"/>
      <c r="J98" s="287"/>
    </row>
    <row r="99" spans="1:10" s="78" customFormat="1" ht="15" customHeight="1">
      <c r="A99" s="140" t="s">
        <v>96</v>
      </c>
      <c r="B99" s="77" t="s">
        <v>103</v>
      </c>
      <c r="C99" s="306" t="s">
        <v>104</v>
      </c>
      <c r="D99" s="82"/>
      <c r="E99" s="82"/>
      <c r="F99" s="82"/>
      <c r="G99" s="82"/>
      <c r="H99" s="82"/>
      <c r="I99" s="85"/>
      <c r="J99" s="287"/>
    </row>
    <row r="100" spans="1:9" s="78" customFormat="1" ht="14.25" customHeight="1">
      <c r="A100" s="307" t="s">
        <v>288</v>
      </c>
      <c r="B100" s="306" t="s">
        <v>802</v>
      </c>
      <c r="C100" s="311" t="s">
        <v>613</v>
      </c>
      <c r="D100" s="308" t="s">
        <v>289</v>
      </c>
      <c r="E100" s="309">
        <v>38107</v>
      </c>
      <c r="F100" s="142">
        <v>32654971</v>
      </c>
      <c r="G100" s="142">
        <v>31294971</v>
      </c>
      <c r="H100" s="142">
        <f aca="true" t="shared" si="2" ref="H100:H131">SUM(F100-G100)</f>
        <v>1360000</v>
      </c>
      <c r="I100" s="85">
        <v>0</v>
      </c>
    </row>
    <row r="101" spans="1:9" s="78" customFormat="1" ht="14.25" customHeight="1">
      <c r="A101" s="307" t="s">
        <v>500</v>
      </c>
      <c r="B101" s="306" t="s">
        <v>805</v>
      </c>
      <c r="C101" s="306" t="s">
        <v>835</v>
      </c>
      <c r="D101" s="308" t="s">
        <v>558</v>
      </c>
      <c r="E101" s="309">
        <v>38122</v>
      </c>
      <c r="F101" s="142">
        <v>14440372</v>
      </c>
      <c r="G101" s="142">
        <v>12140123</v>
      </c>
      <c r="H101" s="142">
        <f t="shared" si="2"/>
        <v>2300249</v>
      </c>
      <c r="I101" s="85">
        <v>36000</v>
      </c>
    </row>
    <row r="102" spans="1:9" s="78" customFormat="1" ht="14.25" customHeight="1">
      <c r="A102" s="307" t="s">
        <v>28</v>
      </c>
      <c r="B102" s="306" t="s">
        <v>799</v>
      </c>
      <c r="C102" s="311" t="s">
        <v>832</v>
      </c>
      <c r="D102" s="308" t="s">
        <v>319</v>
      </c>
      <c r="E102" s="309">
        <v>38122</v>
      </c>
      <c r="F102" s="142">
        <v>18925383</v>
      </c>
      <c r="G102" s="142">
        <v>18059783</v>
      </c>
      <c r="H102" s="142">
        <f t="shared" si="2"/>
        <v>865600</v>
      </c>
      <c r="I102" s="85">
        <v>0</v>
      </c>
    </row>
    <row r="103" spans="1:9" s="78" customFormat="1" ht="14.25" customHeight="1">
      <c r="A103" s="307" t="s">
        <v>1037</v>
      </c>
      <c r="B103" s="306" t="s">
        <v>808</v>
      </c>
      <c r="C103" s="311" t="s">
        <v>1170</v>
      </c>
      <c r="D103" s="308" t="s">
        <v>326</v>
      </c>
      <c r="E103" s="315">
        <v>38138</v>
      </c>
      <c r="F103" s="142">
        <v>33297400</v>
      </c>
      <c r="G103" s="142">
        <v>33297400</v>
      </c>
      <c r="H103" s="142">
        <f t="shared" si="2"/>
        <v>0</v>
      </c>
      <c r="I103" s="85">
        <v>0</v>
      </c>
    </row>
    <row r="104" spans="1:9" s="78" customFormat="1" ht="14.25" customHeight="1">
      <c r="A104" s="307" t="s">
        <v>503</v>
      </c>
      <c r="B104" s="306" t="s">
        <v>811</v>
      </c>
      <c r="C104" s="311" t="s">
        <v>506</v>
      </c>
      <c r="D104" s="308" t="s">
        <v>504</v>
      </c>
      <c r="E104" s="315">
        <v>38168</v>
      </c>
      <c r="F104" s="142">
        <v>34050042</v>
      </c>
      <c r="G104" s="142">
        <v>34046842</v>
      </c>
      <c r="H104" s="142">
        <f t="shared" si="2"/>
        <v>3200</v>
      </c>
      <c r="I104" s="85">
        <v>0</v>
      </c>
    </row>
    <row r="105" spans="1:9" s="78" customFormat="1" ht="14.25" customHeight="1">
      <c r="A105" s="307" t="s">
        <v>1190</v>
      </c>
      <c r="B105" s="306" t="s">
        <v>814</v>
      </c>
      <c r="C105" s="311" t="s">
        <v>1186</v>
      </c>
      <c r="D105" s="308" t="s">
        <v>1187</v>
      </c>
      <c r="E105" s="315">
        <v>38199</v>
      </c>
      <c r="F105" s="142">
        <v>33250010</v>
      </c>
      <c r="G105" s="142">
        <v>33244410</v>
      </c>
      <c r="H105" s="142">
        <f t="shared" si="2"/>
        <v>5600</v>
      </c>
      <c r="I105" s="85">
        <v>0</v>
      </c>
    </row>
    <row r="106" spans="1:9" s="78" customFormat="1" ht="14.25" customHeight="1">
      <c r="A106" s="307" t="s">
        <v>1038</v>
      </c>
      <c r="B106" s="306" t="s">
        <v>816</v>
      </c>
      <c r="C106" s="306" t="s">
        <v>835</v>
      </c>
      <c r="D106" s="308" t="s">
        <v>559</v>
      </c>
      <c r="E106" s="309">
        <v>38214</v>
      </c>
      <c r="F106" s="142">
        <v>13346467</v>
      </c>
      <c r="G106" s="142">
        <v>10584701</v>
      </c>
      <c r="H106" s="142">
        <f t="shared" si="2"/>
        <v>2761766</v>
      </c>
      <c r="I106" s="85">
        <v>112400</v>
      </c>
    </row>
    <row r="107" spans="1:9" s="78" customFormat="1" ht="14.25" customHeight="1">
      <c r="A107" s="307" t="s">
        <v>29</v>
      </c>
      <c r="B107" s="306" t="s">
        <v>813</v>
      </c>
      <c r="C107" s="306">
        <v>6</v>
      </c>
      <c r="D107" s="308" t="s">
        <v>761</v>
      </c>
      <c r="E107" s="309">
        <v>38214</v>
      </c>
      <c r="F107" s="142">
        <v>18089806</v>
      </c>
      <c r="G107" s="142">
        <v>18089806</v>
      </c>
      <c r="H107" s="142">
        <f t="shared" si="2"/>
        <v>0</v>
      </c>
      <c r="I107" s="85">
        <v>0</v>
      </c>
    </row>
    <row r="108" spans="1:9" s="78" customFormat="1" ht="14.25" customHeight="1">
      <c r="A108" s="307" t="s">
        <v>56</v>
      </c>
      <c r="B108" s="306" t="s">
        <v>818</v>
      </c>
      <c r="C108" s="311" t="s">
        <v>57</v>
      </c>
      <c r="D108" s="308" t="s">
        <v>58</v>
      </c>
      <c r="E108" s="315">
        <v>38230</v>
      </c>
      <c r="F108" s="142">
        <v>34541397</v>
      </c>
      <c r="G108" s="142">
        <v>34541397</v>
      </c>
      <c r="H108" s="142">
        <f t="shared" si="2"/>
        <v>0</v>
      </c>
      <c r="I108" s="85">
        <v>0</v>
      </c>
    </row>
    <row r="109" spans="1:9" s="78" customFormat="1" ht="14.25" customHeight="1">
      <c r="A109" s="307" t="s">
        <v>59</v>
      </c>
      <c r="B109" s="306" t="s">
        <v>819</v>
      </c>
      <c r="C109" s="311" t="s">
        <v>60</v>
      </c>
      <c r="D109" s="308" t="s">
        <v>61</v>
      </c>
      <c r="E109" s="315">
        <v>38260</v>
      </c>
      <c r="F109" s="142">
        <v>34655535</v>
      </c>
      <c r="G109" s="142">
        <v>34647535</v>
      </c>
      <c r="H109" s="142">
        <f t="shared" si="2"/>
        <v>8000</v>
      </c>
      <c r="I109" s="85">
        <v>0</v>
      </c>
    </row>
    <row r="110" spans="1:9" s="78" customFormat="1" ht="14.25" customHeight="1">
      <c r="A110" s="307" t="s">
        <v>664</v>
      </c>
      <c r="B110" s="306" t="s">
        <v>822</v>
      </c>
      <c r="C110" s="311" t="s">
        <v>57</v>
      </c>
      <c r="D110" s="308" t="s">
        <v>665</v>
      </c>
      <c r="E110" s="315">
        <v>38291</v>
      </c>
      <c r="F110" s="142">
        <v>32439549</v>
      </c>
      <c r="G110" s="142">
        <v>32437949</v>
      </c>
      <c r="H110" s="142">
        <f t="shared" si="2"/>
        <v>1600</v>
      </c>
      <c r="I110" s="85">
        <v>0</v>
      </c>
    </row>
    <row r="111" spans="1:9" s="78" customFormat="1" ht="14.25" customHeight="1">
      <c r="A111" s="307" t="s">
        <v>55</v>
      </c>
      <c r="B111" s="306" t="s">
        <v>825</v>
      </c>
      <c r="C111" s="306" t="s">
        <v>826</v>
      </c>
      <c r="D111" s="308" t="s">
        <v>560</v>
      </c>
      <c r="E111" s="309">
        <v>38306</v>
      </c>
      <c r="F111" s="142">
        <v>14373760</v>
      </c>
      <c r="G111" s="142">
        <v>14321070</v>
      </c>
      <c r="H111" s="142">
        <f t="shared" si="2"/>
        <v>52690</v>
      </c>
      <c r="I111" s="85">
        <v>4800</v>
      </c>
    </row>
    <row r="112" spans="1:9" s="78" customFormat="1" ht="14.25" customHeight="1">
      <c r="A112" s="307" t="s">
        <v>30</v>
      </c>
      <c r="B112" s="306" t="s">
        <v>821</v>
      </c>
      <c r="C112" s="306" t="s">
        <v>113</v>
      </c>
      <c r="D112" s="308" t="s">
        <v>1107</v>
      </c>
      <c r="E112" s="309">
        <v>38306</v>
      </c>
      <c r="F112" s="142">
        <v>32658145</v>
      </c>
      <c r="G112" s="142">
        <v>32656545</v>
      </c>
      <c r="H112" s="142">
        <f t="shared" si="2"/>
        <v>1600</v>
      </c>
      <c r="I112" s="85">
        <v>0</v>
      </c>
    </row>
    <row r="113" spans="1:9" s="78" customFormat="1" ht="14.25" customHeight="1">
      <c r="A113" s="307" t="s">
        <v>856</v>
      </c>
      <c r="B113" s="306" t="s">
        <v>827</v>
      </c>
      <c r="C113" s="306">
        <v>2</v>
      </c>
      <c r="D113" s="308" t="s">
        <v>860</v>
      </c>
      <c r="E113" s="309">
        <v>38321</v>
      </c>
      <c r="F113" s="142">
        <v>32871320</v>
      </c>
      <c r="G113" s="142">
        <v>32871320</v>
      </c>
      <c r="H113" s="142">
        <f t="shared" si="2"/>
        <v>0</v>
      </c>
      <c r="I113" s="85">
        <v>0</v>
      </c>
    </row>
    <row r="114" spans="1:9" s="78" customFormat="1" ht="14.25" customHeight="1">
      <c r="A114" s="307" t="s">
        <v>857</v>
      </c>
      <c r="B114" s="306" t="s">
        <v>105</v>
      </c>
      <c r="C114" s="311" t="s">
        <v>859</v>
      </c>
      <c r="D114" s="308" t="s">
        <v>861</v>
      </c>
      <c r="E114" s="309">
        <v>38352</v>
      </c>
      <c r="F114" s="142">
        <v>33203363</v>
      </c>
      <c r="G114" s="142">
        <v>33203363</v>
      </c>
      <c r="H114" s="142">
        <f t="shared" si="2"/>
        <v>0</v>
      </c>
      <c r="I114" s="85">
        <v>0</v>
      </c>
    </row>
    <row r="115" spans="1:9" s="78" customFormat="1" ht="14.25" customHeight="1">
      <c r="A115" s="307" t="s">
        <v>1110</v>
      </c>
      <c r="B115" s="306" t="s">
        <v>813</v>
      </c>
      <c r="C115" s="311" t="s">
        <v>1109</v>
      </c>
      <c r="D115" s="308" t="s">
        <v>1111</v>
      </c>
      <c r="E115" s="309">
        <v>38383</v>
      </c>
      <c r="F115" s="142">
        <v>33837124</v>
      </c>
      <c r="G115" s="142">
        <v>33837124</v>
      </c>
      <c r="H115" s="142">
        <f t="shared" si="2"/>
        <v>0</v>
      </c>
      <c r="I115" s="85">
        <v>0</v>
      </c>
    </row>
    <row r="116" spans="1:9" s="78" customFormat="1" ht="14.25" customHeight="1">
      <c r="A116" s="307" t="s">
        <v>858</v>
      </c>
      <c r="B116" s="306" t="s">
        <v>114</v>
      </c>
      <c r="C116" s="306" t="s">
        <v>823</v>
      </c>
      <c r="D116" s="308" t="s">
        <v>561</v>
      </c>
      <c r="E116" s="309">
        <v>38398</v>
      </c>
      <c r="F116" s="142">
        <v>13834754</v>
      </c>
      <c r="G116" s="142">
        <v>12800707</v>
      </c>
      <c r="H116" s="142">
        <f t="shared" si="2"/>
        <v>1034047</v>
      </c>
      <c r="I116" s="85">
        <v>23600</v>
      </c>
    </row>
    <row r="117" spans="1:9" s="78" customFormat="1" ht="14.25" customHeight="1">
      <c r="A117" s="307" t="s">
        <v>878</v>
      </c>
      <c r="B117" s="306" t="s">
        <v>821</v>
      </c>
      <c r="C117" s="311" t="s">
        <v>879</v>
      </c>
      <c r="D117" s="308" t="s">
        <v>880</v>
      </c>
      <c r="E117" s="309">
        <v>38411</v>
      </c>
      <c r="F117" s="142">
        <v>35331909</v>
      </c>
      <c r="G117" s="142">
        <v>35331909</v>
      </c>
      <c r="H117" s="142">
        <f t="shared" si="2"/>
        <v>0</v>
      </c>
      <c r="I117" s="85">
        <v>0</v>
      </c>
    </row>
    <row r="118" spans="1:9" s="78" customFormat="1" ht="14.25" customHeight="1">
      <c r="A118" s="307" t="s">
        <v>960</v>
      </c>
      <c r="B118" s="306" t="s">
        <v>111</v>
      </c>
      <c r="C118" s="311" t="s">
        <v>1109</v>
      </c>
      <c r="D118" s="308" t="s">
        <v>961</v>
      </c>
      <c r="E118" s="309">
        <v>38442</v>
      </c>
      <c r="F118" s="142">
        <v>35211162</v>
      </c>
      <c r="G118" s="142">
        <v>35207962</v>
      </c>
      <c r="H118" s="142">
        <f t="shared" si="2"/>
        <v>3200</v>
      </c>
      <c r="I118" s="85">
        <v>0</v>
      </c>
    </row>
    <row r="119" spans="1:9" s="78" customFormat="1" ht="14.25" customHeight="1">
      <c r="A119" s="307" t="s">
        <v>1099</v>
      </c>
      <c r="B119" s="306" t="s">
        <v>793</v>
      </c>
      <c r="C119" s="311" t="s">
        <v>1109</v>
      </c>
      <c r="D119" s="308" t="s">
        <v>1100</v>
      </c>
      <c r="E119" s="309">
        <v>38472</v>
      </c>
      <c r="F119" s="142">
        <v>34295459</v>
      </c>
      <c r="G119" s="142">
        <v>34295459</v>
      </c>
      <c r="H119" s="142">
        <f t="shared" si="2"/>
        <v>0</v>
      </c>
      <c r="I119" s="85">
        <v>0</v>
      </c>
    </row>
    <row r="120" spans="1:9" s="78" customFormat="1" ht="14.25" customHeight="1">
      <c r="A120" s="307" t="s">
        <v>1033</v>
      </c>
      <c r="B120" s="306" t="s">
        <v>805</v>
      </c>
      <c r="C120" s="306" t="s">
        <v>803</v>
      </c>
      <c r="D120" s="308" t="s">
        <v>562</v>
      </c>
      <c r="E120" s="309">
        <v>38487</v>
      </c>
      <c r="F120" s="142">
        <v>14739504</v>
      </c>
      <c r="G120" s="142">
        <v>14739104</v>
      </c>
      <c r="H120" s="142">
        <f t="shared" si="2"/>
        <v>400</v>
      </c>
      <c r="I120" s="85">
        <v>0</v>
      </c>
    </row>
    <row r="121" spans="1:9" s="78" customFormat="1" ht="14.25" customHeight="1">
      <c r="A121" s="307" t="s">
        <v>31</v>
      </c>
      <c r="B121" s="306" t="s">
        <v>108</v>
      </c>
      <c r="C121" s="311" t="s">
        <v>809</v>
      </c>
      <c r="D121" s="308" t="s">
        <v>414</v>
      </c>
      <c r="E121" s="309">
        <v>38487</v>
      </c>
      <c r="F121" s="142">
        <v>28562370</v>
      </c>
      <c r="G121" s="142">
        <v>28170370</v>
      </c>
      <c r="H121" s="142">
        <f t="shared" si="2"/>
        <v>392000</v>
      </c>
      <c r="I121" s="85">
        <v>7200</v>
      </c>
    </row>
    <row r="122" spans="1:9" s="78" customFormat="1" ht="14.25" customHeight="1">
      <c r="A122" s="307" t="s">
        <v>871</v>
      </c>
      <c r="B122" s="306" t="s">
        <v>796</v>
      </c>
      <c r="C122" s="311" t="s">
        <v>260</v>
      </c>
      <c r="D122" s="308" t="s">
        <v>1081</v>
      </c>
      <c r="E122" s="315">
        <v>38503</v>
      </c>
      <c r="F122" s="142">
        <v>31020836</v>
      </c>
      <c r="G122" s="142">
        <v>31020836</v>
      </c>
      <c r="H122" s="142">
        <f t="shared" si="2"/>
        <v>0</v>
      </c>
      <c r="I122" s="85">
        <v>0</v>
      </c>
    </row>
    <row r="123" spans="1:9" s="78" customFormat="1" ht="14.25" customHeight="1">
      <c r="A123" s="307" t="s">
        <v>870</v>
      </c>
      <c r="B123" s="306" t="s">
        <v>802</v>
      </c>
      <c r="C123" s="311" t="s">
        <v>1095</v>
      </c>
      <c r="D123" s="308" t="s">
        <v>872</v>
      </c>
      <c r="E123" s="315">
        <v>38533</v>
      </c>
      <c r="F123" s="142">
        <v>31701455</v>
      </c>
      <c r="G123" s="142">
        <v>31701455</v>
      </c>
      <c r="H123" s="142">
        <f t="shared" si="2"/>
        <v>0</v>
      </c>
      <c r="I123" s="85">
        <v>0</v>
      </c>
    </row>
    <row r="124" spans="1:9" s="78" customFormat="1" ht="14.25" customHeight="1">
      <c r="A124" s="307" t="s">
        <v>681</v>
      </c>
      <c r="B124" s="306" t="s">
        <v>808</v>
      </c>
      <c r="C124" s="311" t="s">
        <v>879</v>
      </c>
      <c r="D124" s="308" t="s">
        <v>682</v>
      </c>
      <c r="E124" s="315">
        <v>38564</v>
      </c>
      <c r="F124" s="142">
        <v>29997026</v>
      </c>
      <c r="G124" s="142">
        <v>29997026</v>
      </c>
      <c r="H124" s="142">
        <f t="shared" si="2"/>
        <v>0</v>
      </c>
      <c r="I124" s="85">
        <v>0</v>
      </c>
    </row>
    <row r="125" spans="1:9" s="78" customFormat="1" ht="14.25" customHeight="1">
      <c r="A125" s="307" t="s">
        <v>261</v>
      </c>
      <c r="B125" s="306" t="s">
        <v>816</v>
      </c>
      <c r="C125" s="306" t="s">
        <v>803</v>
      </c>
      <c r="D125" s="308" t="s">
        <v>563</v>
      </c>
      <c r="E125" s="309">
        <v>38579</v>
      </c>
      <c r="F125" s="142">
        <v>15002580</v>
      </c>
      <c r="G125" s="142">
        <v>15002180</v>
      </c>
      <c r="H125" s="142">
        <f t="shared" si="2"/>
        <v>400</v>
      </c>
      <c r="I125" s="85">
        <v>0</v>
      </c>
    </row>
    <row r="126" spans="1:9" s="78" customFormat="1" ht="14.25" customHeight="1">
      <c r="A126" s="307" t="s">
        <v>777</v>
      </c>
      <c r="B126" s="306" t="s">
        <v>811</v>
      </c>
      <c r="C126" s="329" t="s">
        <v>20</v>
      </c>
      <c r="D126" s="308" t="s">
        <v>783</v>
      </c>
      <c r="E126" s="315">
        <v>38595</v>
      </c>
      <c r="F126" s="142">
        <v>30592178</v>
      </c>
      <c r="G126" s="142">
        <v>30592178</v>
      </c>
      <c r="H126" s="142">
        <f t="shared" si="2"/>
        <v>0</v>
      </c>
      <c r="I126" s="85">
        <v>0</v>
      </c>
    </row>
    <row r="127" spans="1:9" s="78" customFormat="1" ht="14.25" customHeight="1">
      <c r="A127" s="307" t="s">
        <v>863</v>
      </c>
      <c r="B127" s="306" t="s">
        <v>814</v>
      </c>
      <c r="C127" s="329" t="s">
        <v>1109</v>
      </c>
      <c r="D127" s="308" t="s">
        <v>864</v>
      </c>
      <c r="E127" s="315">
        <v>38625</v>
      </c>
      <c r="F127" s="142">
        <v>31538969</v>
      </c>
      <c r="G127" s="142">
        <v>31538969</v>
      </c>
      <c r="H127" s="142">
        <f t="shared" si="2"/>
        <v>0</v>
      </c>
      <c r="I127" s="85">
        <v>0</v>
      </c>
    </row>
    <row r="128" spans="1:9" s="78" customFormat="1" ht="14.25" customHeight="1">
      <c r="A128" s="307" t="s">
        <v>495</v>
      </c>
      <c r="B128" s="306" t="s">
        <v>818</v>
      </c>
      <c r="C128" s="329" t="s">
        <v>1109</v>
      </c>
      <c r="D128" s="308" t="s">
        <v>496</v>
      </c>
      <c r="E128" s="315">
        <v>38656</v>
      </c>
      <c r="F128" s="142">
        <v>32368420</v>
      </c>
      <c r="G128" s="142">
        <v>32368420</v>
      </c>
      <c r="H128" s="142">
        <f t="shared" si="2"/>
        <v>0</v>
      </c>
      <c r="I128" s="85">
        <v>0</v>
      </c>
    </row>
    <row r="129" spans="1:9" s="78" customFormat="1" ht="14.25" customHeight="1">
      <c r="A129" s="307" t="s">
        <v>776</v>
      </c>
      <c r="B129" s="306" t="s">
        <v>825</v>
      </c>
      <c r="C129" s="306" t="s">
        <v>113</v>
      </c>
      <c r="D129" s="308" t="s">
        <v>564</v>
      </c>
      <c r="E129" s="309">
        <v>38671</v>
      </c>
      <c r="F129" s="142">
        <v>15209920</v>
      </c>
      <c r="G129" s="142">
        <v>14262781</v>
      </c>
      <c r="H129" s="142">
        <f t="shared" si="2"/>
        <v>947139</v>
      </c>
      <c r="I129" s="85">
        <v>36800</v>
      </c>
    </row>
    <row r="130" spans="1:9" s="78" customFormat="1" ht="14.25" customHeight="1">
      <c r="A130" s="307" t="s">
        <v>32</v>
      </c>
      <c r="B130" s="306" t="s">
        <v>799</v>
      </c>
      <c r="C130" s="311" t="s">
        <v>107</v>
      </c>
      <c r="D130" s="308" t="s">
        <v>1167</v>
      </c>
      <c r="E130" s="309">
        <v>38671</v>
      </c>
      <c r="F130" s="142">
        <v>28062797</v>
      </c>
      <c r="G130" s="142">
        <v>27272197</v>
      </c>
      <c r="H130" s="142">
        <f t="shared" si="2"/>
        <v>790600</v>
      </c>
      <c r="I130" s="85">
        <v>0</v>
      </c>
    </row>
    <row r="131" spans="1:9" s="78" customFormat="1" ht="14.25" customHeight="1">
      <c r="A131" s="278" t="s">
        <v>903</v>
      </c>
      <c r="B131" s="306" t="s">
        <v>819</v>
      </c>
      <c r="C131" s="311" t="s">
        <v>60</v>
      </c>
      <c r="D131" s="308" t="s">
        <v>904</v>
      </c>
      <c r="E131" s="309">
        <v>38686</v>
      </c>
      <c r="F131" s="142">
        <v>32203806</v>
      </c>
      <c r="G131" s="142">
        <v>32203806</v>
      </c>
      <c r="H131" s="142">
        <f t="shared" si="2"/>
        <v>0</v>
      </c>
      <c r="I131" s="85">
        <v>0</v>
      </c>
    </row>
    <row r="132" spans="1:9" s="78" customFormat="1" ht="14.25" customHeight="1">
      <c r="A132" s="307" t="s">
        <v>905</v>
      </c>
      <c r="B132" s="306" t="s">
        <v>822</v>
      </c>
      <c r="C132" s="311" t="s">
        <v>60</v>
      </c>
      <c r="D132" s="308" t="s">
        <v>906</v>
      </c>
      <c r="E132" s="309">
        <v>38717</v>
      </c>
      <c r="F132" s="142">
        <v>33996270</v>
      </c>
      <c r="G132" s="142">
        <v>33996270</v>
      </c>
      <c r="H132" s="142">
        <f aca="true" t="shared" si="3" ref="H132:H163">SUM(F132-G132)</f>
        <v>0</v>
      </c>
      <c r="I132" s="85">
        <v>0</v>
      </c>
    </row>
    <row r="133" spans="1:9" s="78" customFormat="1" ht="14.25" customHeight="1">
      <c r="A133" s="307" t="s">
        <v>657</v>
      </c>
      <c r="B133" s="306" t="s">
        <v>793</v>
      </c>
      <c r="C133" s="311" t="s">
        <v>60</v>
      </c>
      <c r="D133" s="308" t="s">
        <v>658</v>
      </c>
      <c r="E133" s="309">
        <v>38748</v>
      </c>
      <c r="F133" s="142">
        <v>32533188</v>
      </c>
      <c r="G133" s="142">
        <v>32533188</v>
      </c>
      <c r="H133" s="142">
        <f t="shared" si="3"/>
        <v>0</v>
      </c>
      <c r="I133" s="85">
        <v>0</v>
      </c>
    </row>
    <row r="134" spans="1:9" s="78" customFormat="1" ht="14.25" customHeight="1">
      <c r="A134" s="278" t="s">
        <v>902</v>
      </c>
      <c r="B134" s="306" t="s">
        <v>114</v>
      </c>
      <c r="C134" s="306" t="s">
        <v>824</v>
      </c>
      <c r="D134" s="308" t="s">
        <v>565</v>
      </c>
      <c r="E134" s="309">
        <v>38763</v>
      </c>
      <c r="F134" s="142">
        <v>15513587</v>
      </c>
      <c r="G134" s="142">
        <v>15508467</v>
      </c>
      <c r="H134" s="142">
        <f t="shared" si="3"/>
        <v>5120</v>
      </c>
      <c r="I134" s="85">
        <v>960</v>
      </c>
    </row>
    <row r="135" spans="1:9" s="78" customFormat="1" ht="14.25" customHeight="1">
      <c r="A135" s="307" t="s">
        <v>298</v>
      </c>
      <c r="B135" s="306" t="s">
        <v>796</v>
      </c>
      <c r="C135" s="311" t="s">
        <v>1109</v>
      </c>
      <c r="D135" s="308" t="s">
        <v>299</v>
      </c>
      <c r="E135" s="309">
        <v>38776</v>
      </c>
      <c r="F135" s="142">
        <v>34001950</v>
      </c>
      <c r="G135" s="142">
        <v>34001950</v>
      </c>
      <c r="H135" s="142">
        <f t="shared" si="3"/>
        <v>0</v>
      </c>
      <c r="I135" s="85">
        <v>0</v>
      </c>
    </row>
    <row r="136" spans="1:9" s="78" customFormat="1" ht="14.25" customHeight="1">
      <c r="A136" s="307" t="s">
        <v>300</v>
      </c>
      <c r="B136" s="306" t="s">
        <v>802</v>
      </c>
      <c r="C136" s="311" t="s">
        <v>879</v>
      </c>
      <c r="D136" s="308" t="s">
        <v>302</v>
      </c>
      <c r="E136" s="309">
        <v>38807</v>
      </c>
      <c r="F136" s="142">
        <v>34339493</v>
      </c>
      <c r="G136" s="142">
        <v>34339493</v>
      </c>
      <c r="H136" s="142">
        <f t="shared" si="3"/>
        <v>0</v>
      </c>
      <c r="I136" s="85">
        <v>0</v>
      </c>
    </row>
    <row r="137" spans="1:9" s="78" customFormat="1" ht="14.25" customHeight="1">
      <c r="A137" s="307" t="s">
        <v>33</v>
      </c>
      <c r="B137" s="306" t="s">
        <v>805</v>
      </c>
      <c r="C137" s="306" t="s">
        <v>815</v>
      </c>
      <c r="D137" s="308" t="s">
        <v>566</v>
      </c>
      <c r="E137" s="315">
        <v>38852</v>
      </c>
      <c r="F137" s="142">
        <v>16015475</v>
      </c>
      <c r="G137" s="142">
        <v>14998710</v>
      </c>
      <c r="H137" s="142">
        <f t="shared" si="3"/>
        <v>1016765</v>
      </c>
      <c r="I137" s="85">
        <v>4480</v>
      </c>
    </row>
    <row r="138" spans="1:9" s="78" customFormat="1" ht="14.25" customHeight="1">
      <c r="A138" s="307" t="s">
        <v>877</v>
      </c>
      <c r="B138" s="306" t="s">
        <v>108</v>
      </c>
      <c r="C138" s="329" t="s">
        <v>660</v>
      </c>
      <c r="D138" s="308" t="s">
        <v>264</v>
      </c>
      <c r="E138" s="315">
        <v>38852</v>
      </c>
      <c r="F138" s="142">
        <v>27797852</v>
      </c>
      <c r="G138" s="142">
        <v>27797852</v>
      </c>
      <c r="H138" s="142">
        <f t="shared" si="3"/>
        <v>0</v>
      </c>
      <c r="I138" s="85">
        <v>0</v>
      </c>
    </row>
    <row r="139" spans="1:9" s="78" customFormat="1" ht="14.25" customHeight="1">
      <c r="A139" s="307" t="s">
        <v>508</v>
      </c>
      <c r="B139" s="306" t="s">
        <v>813</v>
      </c>
      <c r="C139" s="329" t="s">
        <v>20</v>
      </c>
      <c r="D139" s="308" t="s">
        <v>21</v>
      </c>
      <c r="E139" s="315">
        <v>38852</v>
      </c>
      <c r="F139" s="142">
        <v>22391759</v>
      </c>
      <c r="G139" s="142">
        <v>22391759</v>
      </c>
      <c r="H139" s="142">
        <f t="shared" si="3"/>
        <v>0</v>
      </c>
      <c r="I139" s="85">
        <v>0</v>
      </c>
    </row>
    <row r="140" spans="1:9" s="78" customFormat="1" ht="14.25" customHeight="1">
      <c r="A140" s="307" t="s">
        <v>509</v>
      </c>
      <c r="B140" s="306" t="s">
        <v>816</v>
      </c>
      <c r="C140" s="306" t="s">
        <v>800</v>
      </c>
      <c r="D140" s="308" t="s">
        <v>567</v>
      </c>
      <c r="E140" s="315">
        <v>38913</v>
      </c>
      <c r="F140" s="142">
        <v>22740446</v>
      </c>
      <c r="G140" s="142">
        <v>22537646</v>
      </c>
      <c r="H140" s="142">
        <f t="shared" si="3"/>
        <v>202800</v>
      </c>
      <c r="I140" s="85">
        <v>0</v>
      </c>
    </row>
    <row r="141" spans="1:9" s="78" customFormat="1" ht="14.25" customHeight="1">
      <c r="A141" s="307" t="s">
        <v>396</v>
      </c>
      <c r="B141" s="306" t="s">
        <v>821</v>
      </c>
      <c r="C141" s="329" t="s">
        <v>397</v>
      </c>
      <c r="D141" s="308" t="s">
        <v>400</v>
      </c>
      <c r="E141" s="315">
        <v>38944</v>
      </c>
      <c r="F141" s="142">
        <v>27909346</v>
      </c>
      <c r="G141" s="142">
        <v>27840546</v>
      </c>
      <c r="H141" s="142">
        <f t="shared" si="3"/>
        <v>68800</v>
      </c>
      <c r="I141" s="85">
        <v>0</v>
      </c>
    </row>
    <row r="142" spans="1:9" s="78" customFormat="1" ht="14.25" customHeight="1">
      <c r="A142" s="307" t="s">
        <v>465</v>
      </c>
      <c r="B142" s="306" t="s">
        <v>825</v>
      </c>
      <c r="C142" s="306" t="s">
        <v>803</v>
      </c>
      <c r="D142" s="308" t="s">
        <v>568</v>
      </c>
      <c r="E142" s="315">
        <v>39005</v>
      </c>
      <c r="F142" s="142">
        <v>22459675</v>
      </c>
      <c r="G142" s="142">
        <v>22395675</v>
      </c>
      <c r="H142" s="142">
        <f t="shared" si="3"/>
        <v>64000</v>
      </c>
      <c r="I142" s="85">
        <v>0</v>
      </c>
    </row>
    <row r="143" spans="1:9" s="78" customFormat="1" ht="14.25" customHeight="1">
      <c r="A143" s="307" t="s">
        <v>445</v>
      </c>
      <c r="B143" s="306" t="s">
        <v>799</v>
      </c>
      <c r="C143" s="311" t="s">
        <v>618</v>
      </c>
      <c r="D143" s="308" t="s">
        <v>446</v>
      </c>
      <c r="E143" s="315">
        <v>39036</v>
      </c>
      <c r="F143" s="142">
        <v>35380129</v>
      </c>
      <c r="G143" s="142">
        <v>34914366</v>
      </c>
      <c r="H143" s="142">
        <f t="shared" si="3"/>
        <v>465763</v>
      </c>
      <c r="I143" s="85">
        <v>19700</v>
      </c>
    </row>
    <row r="144" spans="1:9" s="78" customFormat="1" ht="14.25" customHeight="1">
      <c r="A144" s="307" t="s">
        <v>384</v>
      </c>
      <c r="B144" s="306" t="s">
        <v>111</v>
      </c>
      <c r="C144" s="329" t="s">
        <v>511</v>
      </c>
      <c r="D144" s="308" t="s">
        <v>383</v>
      </c>
      <c r="E144" s="315">
        <v>39036</v>
      </c>
      <c r="F144" s="142">
        <v>26535905</v>
      </c>
      <c r="G144" s="142">
        <v>26535905</v>
      </c>
      <c r="H144" s="142">
        <f t="shared" si="3"/>
        <v>0</v>
      </c>
      <c r="I144" s="85">
        <v>0</v>
      </c>
    </row>
    <row r="145" spans="1:9" s="78" customFormat="1" ht="14.25" customHeight="1">
      <c r="A145" s="307" t="s">
        <v>385</v>
      </c>
      <c r="B145" s="306" t="s">
        <v>805</v>
      </c>
      <c r="C145" s="306" t="s">
        <v>798</v>
      </c>
      <c r="D145" s="308" t="s">
        <v>569</v>
      </c>
      <c r="E145" s="315">
        <v>39128</v>
      </c>
      <c r="F145" s="142">
        <v>13103678</v>
      </c>
      <c r="G145" s="142">
        <v>12809070</v>
      </c>
      <c r="H145" s="142">
        <f t="shared" si="3"/>
        <v>294608</v>
      </c>
      <c r="I145" s="85">
        <v>15700</v>
      </c>
    </row>
    <row r="146" spans="1:9" s="78" customFormat="1" ht="14.25" customHeight="1">
      <c r="A146" s="307" t="s">
        <v>650</v>
      </c>
      <c r="B146" s="306" t="s">
        <v>821</v>
      </c>
      <c r="C146" s="329" t="s">
        <v>1186</v>
      </c>
      <c r="D146" s="308" t="s">
        <v>651</v>
      </c>
      <c r="E146" s="315">
        <v>39128</v>
      </c>
      <c r="F146" s="142">
        <v>25469287</v>
      </c>
      <c r="G146" s="142">
        <v>25469287</v>
      </c>
      <c r="H146" s="142">
        <f t="shared" si="3"/>
        <v>0</v>
      </c>
      <c r="I146" s="85">
        <v>0</v>
      </c>
    </row>
    <row r="147" spans="1:9" s="78" customFormat="1" ht="14.25" customHeight="1">
      <c r="A147" s="307" t="s">
        <v>137</v>
      </c>
      <c r="B147" s="306" t="s">
        <v>816</v>
      </c>
      <c r="C147" s="311" t="s">
        <v>833</v>
      </c>
      <c r="D147" s="308" t="s">
        <v>570</v>
      </c>
      <c r="E147" s="315">
        <v>39217</v>
      </c>
      <c r="F147" s="142">
        <v>13958186</v>
      </c>
      <c r="G147" s="142">
        <v>12932861</v>
      </c>
      <c r="H147" s="142">
        <f t="shared" si="3"/>
        <v>1025325</v>
      </c>
      <c r="I147" s="85">
        <v>44800</v>
      </c>
    </row>
    <row r="148" spans="1:9" s="78" customFormat="1" ht="14.25" customHeight="1">
      <c r="A148" s="307" t="s">
        <v>498</v>
      </c>
      <c r="B148" s="306" t="s">
        <v>108</v>
      </c>
      <c r="C148" s="311" t="s">
        <v>501</v>
      </c>
      <c r="D148" s="308" t="s">
        <v>502</v>
      </c>
      <c r="E148" s="315">
        <v>39217</v>
      </c>
      <c r="F148" s="142">
        <v>24351431</v>
      </c>
      <c r="G148" s="142">
        <v>24351431</v>
      </c>
      <c r="H148" s="142">
        <f t="shared" si="3"/>
        <v>0</v>
      </c>
      <c r="I148" s="85">
        <v>0</v>
      </c>
    </row>
    <row r="149" spans="1:9" s="78" customFormat="1" ht="12.75" customHeight="1">
      <c r="A149" s="278" t="s">
        <v>499</v>
      </c>
      <c r="B149" s="306" t="s">
        <v>825</v>
      </c>
      <c r="C149" s="311" t="s">
        <v>830</v>
      </c>
      <c r="D149" s="308" t="s">
        <v>571</v>
      </c>
      <c r="E149" s="315">
        <v>39309</v>
      </c>
      <c r="F149" s="142">
        <v>25636803</v>
      </c>
      <c r="G149" s="142">
        <v>24243652</v>
      </c>
      <c r="H149" s="142">
        <f t="shared" si="3"/>
        <v>1393151</v>
      </c>
      <c r="I149" s="85">
        <v>78700</v>
      </c>
    </row>
    <row r="150" spans="1:9" s="78" customFormat="1" ht="12.75" customHeight="1">
      <c r="A150" s="307" t="s">
        <v>688</v>
      </c>
      <c r="B150" s="306" t="s">
        <v>799</v>
      </c>
      <c r="C150" s="311" t="s">
        <v>1170</v>
      </c>
      <c r="D150" s="308" t="s">
        <v>589</v>
      </c>
      <c r="E150" s="315">
        <v>39309</v>
      </c>
      <c r="F150" s="142">
        <v>25410844</v>
      </c>
      <c r="G150" s="142">
        <v>25410844</v>
      </c>
      <c r="H150" s="142">
        <f t="shared" si="3"/>
        <v>0</v>
      </c>
      <c r="I150" s="85">
        <v>0</v>
      </c>
    </row>
    <row r="151" spans="1:9" s="78" customFormat="1" ht="12.75" customHeight="1">
      <c r="A151" s="307" t="s">
        <v>123</v>
      </c>
      <c r="B151" s="306" t="s">
        <v>813</v>
      </c>
      <c r="C151" s="311" t="s">
        <v>765</v>
      </c>
      <c r="D151" s="308" t="s">
        <v>124</v>
      </c>
      <c r="E151" s="315">
        <v>39401</v>
      </c>
      <c r="F151" s="142">
        <v>23311319</v>
      </c>
      <c r="G151" s="142">
        <v>23030339</v>
      </c>
      <c r="H151" s="142">
        <f t="shared" si="3"/>
        <v>280980</v>
      </c>
      <c r="I151" s="85">
        <v>38600</v>
      </c>
    </row>
    <row r="152" spans="1:9" s="78" customFormat="1" ht="14.25" customHeight="1">
      <c r="A152" s="278" t="s">
        <v>590</v>
      </c>
      <c r="B152" s="306" t="s">
        <v>805</v>
      </c>
      <c r="C152" s="311" t="s">
        <v>794</v>
      </c>
      <c r="D152" s="308" t="s">
        <v>572</v>
      </c>
      <c r="E152" s="315">
        <v>39493</v>
      </c>
      <c r="F152" s="142">
        <v>13583412</v>
      </c>
      <c r="G152" s="142">
        <v>13302415</v>
      </c>
      <c r="H152" s="142">
        <f t="shared" si="3"/>
        <v>280997</v>
      </c>
      <c r="I152" s="85">
        <v>9660</v>
      </c>
    </row>
    <row r="153" spans="1:9" s="78" customFormat="1" ht="14.25" customHeight="1">
      <c r="A153" s="307" t="s">
        <v>127</v>
      </c>
      <c r="B153" s="306" t="s">
        <v>108</v>
      </c>
      <c r="C153" s="311">
        <v>3</v>
      </c>
      <c r="D153" s="308" t="s">
        <v>128</v>
      </c>
      <c r="E153" s="315">
        <v>39493</v>
      </c>
      <c r="F153" s="142">
        <v>27489260</v>
      </c>
      <c r="G153" s="142">
        <v>27481060</v>
      </c>
      <c r="H153" s="142">
        <f t="shared" si="3"/>
        <v>8200</v>
      </c>
      <c r="I153" s="85">
        <v>0</v>
      </c>
    </row>
    <row r="154" spans="1:9" s="78" customFormat="1" ht="14.25" customHeight="1">
      <c r="A154" s="278" t="s">
        <v>593</v>
      </c>
      <c r="B154" s="306" t="s">
        <v>816</v>
      </c>
      <c r="C154" s="306" t="s">
        <v>824</v>
      </c>
      <c r="D154" s="312" t="s">
        <v>573</v>
      </c>
      <c r="E154" s="315">
        <v>39583</v>
      </c>
      <c r="F154" s="142">
        <v>27190961</v>
      </c>
      <c r="G154" s="142">
        <v>26959534</v>
      </c>
      <c r="H154" s="142">
        <f t="shared" si="3"/>
        <v>231427</v>
      </c>
      <c r="I154" s="85">
        <v>1000</v>
      </c>
    </row>
    <row r="155" spans="1:9" s="78" customFormat="1" ht="14.25" customHeight="1">
      <c r="A155" s="307" t="s">
        <v>510</v>
      </c>
      <c r="B155" s="306" t="s">
        <v>799</v>
      </c>
      <c r="C155" s="329" t="s">
        <v>511</v>
      </c>
      <c r="D155" s="308" t="s">
        <v>22</v>
      </c>
      <c r="E155" s="315">
        <v>39583</v>
      </c>
      <c r="F155" s="142">
        <v>33338446</v>
      </c>
      <c r="G155" s="142">
        <v>33338446</v>
      </c>
      <c r="H155" s="142">
        <f t="shared" si="3"/>
        <v>0</v>
      </c>
      <c r="I155" s="85">
        <v>0</v>
      </c>
    </row>
    <row r="156" spans="1:9" s="78" customFormat="1" ht="14.25" customHeight="1">
      <c r="A156" s="307" t="s">
        <v>398</v>
      </c>
      <c r="B156" s="306" t="s">
        <v>813</v>
      </c>
      <c r="C156" s="329" t="s">
        <v>1170</v>
      </c>
      <c r="D156" s="308" t="s">
        <v>401</v>
      </c>
      <c r="E156" s="315">
        <v>39675</v>
      </c>
      <c r="F156" s="142">
        <v>21357474</v>
      </c>
      <c r="G156" s="142">
        <v>21291974</v>
      </c>
      <c r="H156" s="142">
        <f t="shared" si="3"/>
        <v>65500</v>
      </c>
      <c r="I156" s="85">
        <v>24800</v>
      </c>
    </row>
    <row r="157" spans="1:9" s="78" customFormat="1" ht="14.25" customHeight="1">
      <c r="A157" s="307" t="s">
        <v>779</v>
      </c>
      <c r="B157" s="306" t="s">
        <v>821</v>
      </c>
      <c r="C157" s="329" t="s">
        <v>780</v>
      </c>
      <c r="D157" s="308" t="s">
        <v>782</v>
      </c>
      <c r="E157" s="315">
        <v>39706</v>
      </c>
      <c r="F157" s="142">
        <v>16002177</v>
      </c>
      <c r="G157" s="142">
        <v>15990977</v>
      </c>
      <c r="H157" s="142">
        <f t="shared" si="3"/>
        <v>11200</v>
      </c>
      <c r="I157" s="85">
        <v>0</v>
      </c>
    </row>
    <row r="158" spans="1:9" s="78" customFormat="1" ht="14.25" customHeight="1">
      <c r="A158" s="307" t="s">
        <v>672</v>
      </c>
      <c r="B158" s="306" t="s">
        <v>111</v>
      </c>
      <c r="C158" s="329" t="s">
        <v>780</v>
      </c>
      <c r="D158" s="308" t="s">
        <v>377</v>
      </c>
      <c r="E158" s="315">
        <v>39736</v>
      </c>
      <c r="F158" s="142">
        <v>15995702</v>
      </c>
      <c r="G158" s="142">
        <v>15995702</v>
      </c>
      <c r="H158" s="142">
        <f t="shared" si="3"/>
        <v>0</v>
      </c>
      <c r="I158" s="85">
        <v>0</v>
      </c>
    </row>
    <row r="159" spans="1:9" s="78" customFormat="1" ht="14.25" customHeight="1">
      <c r="A159" s="278" t="s">
        <v>512</v>
      </c>
      <c r="B159" s="306" t="s">
        <v>825</v>
      </c>
      <c r="C159" s="311" t="s">
        <v>836</v>
      </c>
      <c r="D159" s="312" t="s">
        <v>574</v>
      </c>
      <c r="E159" s="315">
        <v>39767</v>
      </c>
      <c r="F159" s="142">
        <v>25083125</v>
      </c>
      <c r="G159" s="142">
        <v>24833380</v>
      </c>
      <c r="H159" s="142">
        <f t="shared" si="3"/>
        <v>249745</v>
      </c>
      <c r="I159" s="85">
        <v>500</v>
      </c>
    </row>
    <row r="160" spans="1:9" s="78" customFormat="1" ht="14.25" customHeight="1">
      <c r="A160" s="307" t="s">
        <v>386</v>
      </c>
      <c r="B160" s="306" t="s">
        <v>793</v>
      </c>
      <c r="C160" s="329" t="s">
        <v>613</v>
      </c>
      <c r="D160" s="308" t="s">
        <v>387</v>
      </c>
      <c r="E160" s="315">
        <v>39767</v>
      </c>
      <c r="F160" s="142">
        <v>18181033</v>
      </c>
      <c r="G160" s="142">
        <v>18181033</v>
      </c>
      <c r="H160" s="142">
        <f t="shared" si="3"/>
        <v>0</v>
      </c>
      <c r="I160" s="85">
        <v>0</v>
      </c>
    </row>
    <row r="161" spans="1:9" s="78" customFormat="1" ht="14.25" customHeight="1">
      <c r="A161" s="307" t="s">
        <v>907</v>
      </c>
      <c r="B161" s="306" t="s">
        <v>796</v>
      </c>
      <c r="C161" s="329" t="s">
        <v>613</v>
      </c>
      <c r="D161" s="308" t="s">
        <v>909</v>
      </c>
      <c r="E161" s="315">
        <v>39797</v>
      </c>
      <c r="F161" s="142">
        <v>16000028</v>
      </c>
      <c r="G161" s="142">
        <v>16000028</v>
      </c>
      <c r="H161" s="142">
        <f t="shared" si="3"/>
        <v>0</v>
      </c>
      <c r="I161" s="85">
        <v>0</v>
      </c>
    </row>
    <row r="162" spans="1:9" s="78" customFormat="1" ht="14.25" customHeight="1">
      <c r="A162" s="307" t="s">
        <v>13</v>
      </c>
      <c r="B162" s="306" t="s">
        <v>825</v>
      </c>
      <c r="C162" s="329" t="s">
        <v>1170</v>
      </c>
      <c r="D162" s="308" t="s">
        <v>15</v>
      </c>
      <c r="E162" s="315">
        <v>39828</v>
      </c>
      <c r="F162" s="142">
        <v>16002546</v>
      </c>
      <c r="G162" s="142">
        <v>16002546</v>
      </c>
      <c r="H162" s="142">
        <f t="shared" si="3"/>
        <v>0</v>
      </c>
      <c r="I162" s="85">
        <v>0</v>
      </c>
    </row>
    <row r="163" spans="1:9" s="78" customFormat="1" ht="14.25" customHeight="1">
      <c r="A163" s="307" t="s">
        <v>652</v>
      </c>
      <c r="B163" s="306" t="s">
        <v>108</v>
      </c>
      <c r="C163" s="329" t="s">
        <v>765</v>
      </c>
      <c r="D163" s="308" t="s">
        <v>653</v>
      </c>
      <c r="E163" s="315">
        <v>39859</v>
      </c>
      <c r="F163" s="142">
        <v>17433763</v>
      </c>
      <c r="G163" s="142">
        <v>17433763</v>
      </c>
      <c r="H163" s="142">
        <f t="shared" si="3"/>
        <v>0</v>
      </c>
      <c r="I163" s="85">
        <v>0</v>
      </c>
    </row>
    <row r="164" spans="1:9" s="78" customFormat="1" ht="14.25" customHeight="1">
      <c r="A164" s="307" t="s">
        <v>294</v>
      </c>
      <c r="B164" s="306" t="s">
        <v>799</v>
      </c>
      <c r="C164" s="329" t="s">
        <v>511</v>
      </c>
      <c r="D164" s="308" t="s">
        <v>296</v>
      </c>
      <c r="E164" s="315">
        <v>39887</v>
      </c>
      <c r="F164" s="142">
        <v>16001063</v>
      </c>
      <c r="G164" s="142">
        <v>16001063</v>
      </c>
      <c r="H164" s="142">
        <f aca="true" t="shared" si="4" ref="H164:H171">SUM(F164-G164)</f>
        <v>0</v>
      </c>
      <c r="I164" s="85">
        <v>0</v>
      </c>
    </row>
    <row r="165" spans="1:9" s="78" customFormat="1" ht="14.25" customHeight="1">
      <c r="A165" s="278" t="s">
        <v>388</v>
      </c>
      <c r="B165" s="306" t="s">
        <v>805</v>
      </c>
      <c r="C165" s="311" t="s">
        <v>794</v>
      </c>
      <c r="D165" s="308" t="s">
        <v>320</v>
      </c>
      <c r="E165" s="315">
        <v>39948</v>
      </c>
      <c r="F165" s="142">
        <v>14794790</v>
      </c>
      <c r="G165" s="142">
        <v>14739050</v>
      </c>
      <c r="H165" s="142">
        <f t="shared" si="4"/>
        <v>55740</v>
      </c>
      <c r="I165" s="85">
        <v>960</v>
      </c>
    </row>
    <row r="166" spans="1:9" s="78" customFormat="1" ht="14.25" customHeight="1">
      <c r="A166" s="278" t="s">
        <v>34</v>
      </c>
      <c r="B166" s="306" t="s">
        <v>816</v>
      </c>
      <c r="C166" s="311">
        <v>6</v>
      </c>
      <c r="D166" s="308" t="s">
        <v>762</v>
      </c>
      <c r="E166" s="315">
        <v>40040</v>
      </c>
      <c r="F166" s="142">
        <v>27399894</v>
      </c>
      <c r="G166" s="142">
        <v>26817651</v>
      </c>
      <c r="H166" s="142">
        <f t="shared" si="4"/>
        <v>582243</v>
      </c>
      <c r="I166" s="85">
        <v>700</v>
      </c>
    </row>
    <row r="167" spans="1:9" s="78" customFormat="1" ht="14.25" customHeight="1">
      <c r="A167" s="278" t="s">
        <v>35</v>
      </c>
      <c r="B167" s="306" t="s">
        <v>805</v>
      </c>
      <c r="C167" s="306" t="s">
        <v>803</v>
      </c>
      <c r="D167" s="308" t="s">
        <v>412</v>
      </c>
      <c r="E167" s="315">
        <v>40224</v>
      </c>
      <c r="F167" s="142">
        <v>23355709</v>
      </c>
      <c r="G167" s="142">
        <v>23349389</v>
      </c>
      <c r="H167" s="142">
        <f t="shared" si="4"/>
        <v>6320</v>
      </c>
      <c r="I167" s="85">
        <v>400</v>
      </c>
    </row>
    <row r="168" spans="1:9" s="78" customFormat="1" ht="14.25" customHeight="1">
      <c r="A168" s="278" t="s">
        <v>36</v>
      </c>
      <c r="B168" s="306" t="s">
        <v>816</v>
      </c>
      <c r="C168" s="311" t="s">
        <v>107</v>
      </c>
      <c r="D168" s="308" t="s">
        <v>51</v>
      </c>
      <c r="E168" s="315">
        <v>40405</v>
      </c>
      <c r="F168" s="142">
        <v>22437594</v>
      </c>
      <c r="G168" s="142">
        <v>22436074</v>
      </c>
      <c r="H168" s="142">
        <f t="shared" si="4"/>
        <v>1520</v>
      </c>
      <c r="I168" s="85">
        <v>0</v>
      </c>
    </row>
    <row r="169" spans="1:9" s="78" customFormat="1" ht="14.25" customHeight="1">
      <c r="A169" s="278" t="s">
        <v>763</v>
      </c>
      <c r="B169" s="306" t="s">
        <v>805</v>
      </c>
      <c r="C169" s="311">
        <v>5</v>
      </c>
      <c r="D169" s="308" t="s">
        <v>323</v>
      </c>
      <c r="E169" s="315">
        <v>40589</v>
      </c>
      <c r="F169" s="142">
        <v>23436329</v>
      </c>
      <c r="G169" s="142">
        <v>23406709</v>
      </c>
      <c r="H169" s="142">
        <f t="shared" si="4"/>
        <v>29620</v>
      </c>
      <c r="I169" s="85">
        <v>0</v>
      </c>
    </row>
    <row r="170" spans="1:9" s="78" customFormat="1" ht="14.25" customHeight="1">
      <c r="A170" s="307" t="s">
        <v>883</v>
      </c>
      <c r="B170" s="306" t="s">
        <v>816</v>
      </c>
      <c r="C170" s="311">
        <v>5</v>
      </c>
      <c r="D170" s="308" t="s">
        <v>884</v>
      </c>
      <c r="E170" s="315">
        <v>40770</v>
      </c>
      <c r="F170" s="142">
        <v>26635316</v>
      </c>
      <c r="G170" s="142">
        <v>26413276</v>
      </c>
      <c r="H170" s="142">
        <f t="shared" si="4"/>
        <v>222040</v>
      </c>
      <c r="I170" s="85">
        <v>0</v>
      </c>
    </row>
    <row r="171" spans="1:9" s="78" customFormat="1" ht="14.25" customHeight="1">
      <c r="A171" s="307" t="s">
        <v>1096</v>
      </c>
      <c r="B171" s="306" t="s">
        <v>805</v>
      </c>
      <c r="C171" s="311" t="s">
        <v>1097</v>
      </c>
      <c r="D171" s="308" t="s">
        <v>1098</v>
      </c>
      <c r="E171" s="315">
        <v>40954</v>
      </c>
      <c r="F171" s="142">
        <v>24779838</v>
      </c>
      <c r="G171" s="142">
        <v>24768238</v>
      </c>
      <c r="H171" s="142">
        <f t="shared" si="4"/>
        <v>11600</v>
      </c>
      <c r="I171" s="85">
        <v>0</v>
      </c>
    </row>
    <row r="172" spans="1:9" s="78" customFormat="1" ht="14.25" customHeight="1">
      <c r="A172" s="307" t="s">
        <v>591</v>
      </c>
      <c r="B172" s="306" t="s">
        <v>825</v>
      </c>
      <c r="C172" s="311" t="s">
        <v>501</v>
      </c>
      <c r="D172" s="308" t="s">
        <v>592</v>
      </c>
      <c r="E172" s="315">
        <v>41136</v>
      </c>
      <c r="F172" s="142">
        <v>19647976</v>
      </c>
      <c r="G172" s="142">
        <v>19634456</v>
      </c>
      <c r="H172" s="142">
        <f aca="true" t="shared" si="5" ref="H172:H177">SUM(F172-G172)</f>
        <v>13520</v>
      </c>
      <c r="I172" s="85">
        <v>0</v>
      </c>
    </row>
    <row r="173" spans="1:9" s="78" customFormat="1" ht="14.25" customHeight="1">
      <c r="A173" s="307" t="s">
        <v>122</v>
      </c>
      <c r="B173" s="306" t="s">
        <v>108</v>
      </c>
      <c r="C173" s="311">
        <v>4</v>
      </c>
      <c r="D173" s="308" t="s">
        <v>125</v>
      </c>
      <c r="E173" s="315">
        <v>41228</v>
      </c>
      <c r="F173" s="142">
        <v>18112742</v>
      </c>
      <c r="G173" s="142">
        <v>18112542</v>
      </c>
      <c r="H173" s="142">
        <f t="shared" si="5"/>
        <v>200</v>
      </c>
      <c r="I173" s="85">
        <v>0</v>
      </c>
    </row>
    <row r="174" spans="1:9" s="78" customFormat="1" ht="14.25" customHeight="1">
      <c r="A174" s="307" t="s">
        <v>129</v>
      </c>
      <c r="B174" s="306" t="s">
        <v>114</v>
      </c>
      <c r="C174" s="329" t="s">
        <v>417</v>
      </c>
      <c r="D174" s="308" t="s">
        <v>130</v>
      </c>
      <c r="E174" s="397">
        <v>41320</v>
      </c>
      <c r="F174" s="401">
        <v>19498396</v>
      </c>
      <c r="G174" s="142">
        <v>19493756</v>
      </c>
      <c r="H174" s="142">
        <f t="shared" si="5"/>
        <v>4640</v>
      </c>
      <c r="I174" s="85">
        <v>0</v>
      </c>
    </row>
    <row r="175" spans="1:9" s="78" customFormat="1" ht="14.25" customHeight="1">
      <c r="A175" s="307" t="s">
        <v>513</v>
      </c>
      <c r="B175" s="306" t="s">
        <v>805</v>
      </c>
      <c r="C175" s="329" t="s">
        <v>612</v>
      </c>
      <c r="D175" s="308" t="s">
        <v>23</v>
      </c>
      <c r="E175" s="315">
        <v>41409</v>
      </c>
      <c r="F175" s="142">
        <v>18253553</v>
      </c>
      <c r="G175" s="142">
        <v>18247153</v>
      </c>
      <c r="H175" s="142">
        <f t="shared" si="5"/>
        <v>6400</v>
      </c>
      <c r="I175" s="85">
        <v>0</v>
      </c>
    </row>
    <row r="176" spans="1:9" s="78" customFormat="1" ht="14.25" customHeight="1">
      <c r="A176" s="307" t="s">
        <v>395</v>
      </c>
      <c r="B176" s="306" t="s">
        <v>825</v>
      </c>
      <c r="C176" s="329" t="s">
        <v>834</v>
      </c>
      <c r="D176" s="308" t="s">
        <v>399</v>
      </c>
      <c r="E176" s="315">
        <v>41501</v>
      </c>
      <c r="F176" s="142">
        <v>33521123</v>
      </c>
      <c r="G176" s="142">
        <v>33497923</v>
      </c>
      <c r="H176" s="142">
        <f t="shared" si="5"/>
        <v>23200</v>
      </c>
      <c r="I176" s="85">
        <v>0</v>
      </c>
    </row>
    <row r="177" spans="1:9" s="78" customFormat="1" ht="14.25" customHeight="1">
      <c r="A177" s="307" t="s">
        <v>382</v>
      </c>
      <c r="B177" s="306" t="s">
        <v>108</v>
      </c>
      <c r="C177" s="329" t="s">
        <v>834</v>
      </c>
      <c r="D177" s="308" t="s">
        <v>389</v>
      </c>
      <c r="E177" s="315">
        <v>41593</v>
      </c>
      <c r="F177" s="142">
        <v>30636844</v>
      </c>
      <c r="G177" s="142">
        <v>30636844</v>
      </c>
      <c r="H177" s="142">
        <f t="shared" si="5"/>
        <v>0</v>
      </c>
      <c r="I177" s="85">
        <v>0</v>
      </c>
    </row>
    <row r="178" spans="1:9" s="78" customFormat="1" ht="14.25" customHeight="1">
      <c r="A178" s="307" t="s">
        <v>654</v>
      </c>
      <c r="B178" s="306" t="s">
        <v>805</v>
      </c>
      <c r="C178" s="311">
        <v>4</v>
      </c>
      <c r="D178" s="308" t="s">
        <v>655</v>
      </c>
      <c r="E178" s="315">
        <v>41685</v>
      </c>
      <c r="F178" s="142">
        <v>28081066</v>
      </c>
      <c r="G178" s="142">
        <v>28081066</v>
      </c>
      <c r="H178" s="142">
        <f>SUM(F178-G178)</f>
        <v>0</v>
      </c>
      <c r="I178" s="85">
        <v>0</v>
      </c>
    </row>
    <row r="179" spans="1:9" s="78" customFormat="1" ht="14.25" customHeight="1">
      <c r="A179" s="278"/>
      <c r="B179" s="306"/>
      <c r="C179" s="311"/>
      <c r="D179" s="312"/>
      <c r="E179" s="321"/>
      <c r="F179" s="387"/>
      <c r="G179" s="142"/>
      <c r="H179" s="142"/>
      <c r="I179" s="85"/>
    </row>
    <row r="180" spans="1:9" s="78" customFormat="1" ht="14.25" customHeight="1">
      <c r="A180" s="284" t="s">
        <v>916</v>
      </c>
      <c r="B180" s="306"/>
      <c r="C180" s="311"/>
      <c r="D180" s="308" t="s">
        <v>1004</v>
      </c>
      <c r="E180" s="321"/>
      <c r="F180" s="142">
        <f>SUM(F100:F179)</f>
        <v>1983414572</v>
      </c>
      <c r="G180" s="142">
        <f>SUM(G100:G179)</f>
        <v>1966265057</v>
      </c>
      <c r="H180" s="142">
        <f>SUM(H100:H179)</f>
        <v>17149515</v>
      </c>
      <c r="I180" s="85">
        <f>SUM(I100:I179)</f>
        <v>461760</v>
      </c>
    </row>
    <row r="181" spans="1:9" s="78" customFormat="1" ht="15.75" customHeight="1">
      <c r="A181" s="284"/>
      <c r="B181" s="306"/>
      <c r="C181" s="311"/>
      <c r="D181" s="82"/>
      <c r="E181" s="330"/>
      <c r="F181" s="142"/>
      <c r="G181" s="142"/>
      <c r="H181" s="142"/>
      <c r="I181" s="85"/>
    </row>
    <row r="182" spans="1:10" s="78" customFormat="1" ht="16.5" customHeight="1" thickBot="1">
      <c r="A182" s="331" t="s">
        <v>578</v>
      </c>
      <c r="B182" s="332"/>
      <c r="C182" s="332"/>
      <c r="D182" s="332"/>
      <c r="E182" s="332"/>
      <c r="F182" s="144">
        <f>SUM(+F64+F180+F78+F86)</f>
        <v>2671679661.5091004</v>
      </c>
      <c r="G182" s="144">
        <f>SUM(+G64+G180+G78+G86)</f>
        <v>2494351792.408</v>
      </c>
      <c r="H182" s="144">
        <f>SUM(+H64+H180+H78+H86)</f>
        <v>177327869.1011</v>
      </c>
      <c r="I182" s="144">
        <f>SUM(+I64+I180+I78+I86)</f>
        <v>18153307</v>
      </c>
      <c r="J182" s="333"/>
    </row>
    <row r="183" spans="1:10" s="78" customFormat="1" ht="16.5" customHeight="1" thickTop="1">
      <c r="A183" s="334"/>
      <c r="B183" s="179"/>
      <c r="C183" s="179"/>
      <c r="D183" s="179"/>
      <c r="E183" s="179"/>
      <c r="F183" s="179"/>
      <c r="G183" s="179"/>
      <c r="H183" s="179"/>
      <c r="I183" s="179"/>
      <c r="J183" s="290"/>
    </row>
    <row r="184" spans="1:16" s="78" customFormat="1" ht="15.75" customHeight="1" thickBot="1">
      <c r="A184" s="110"/>
      <c r="B184" s="110"/>
      <c r="C184" s="110"/>
      <c r="D184" s="110"/>
      <c r="E184" s="110"/>
      <c r="F184" s="335"/>
      <c r="G184" s="336"/>
      <c r="H184" s="336"/>
      <c r="I184" s="337"/>
      <c r="J184" s="338"/>
      <c r="K184" s="175"/>
      <c r="L184" s="230"/>
      <c r="M184" s="175"/>
      <c r="N184" s="230"/>
      <c r="O184" s="175"/>
      <c r="P184" s="175"/>
    </row>
    <row r="185" spans="1:10" s="78" customFormat="1" ht="16.5" customHeight="1" thickTop="1">
      <c r="A185" s="334"/>
      <c r="B185" s="179"/>
      <c r="C185" s="179"/>
      <c r="D185" s="179"/>
      <c r="E185" s="179"/>
      <c r="F185" s="179"/>
      <c r="G185" s="179"/>
      <c r="H185" s="179"/>
      <c r="I185" s="179"/>
      <c r="J185" s="290"/>
    </row>
    <row r="186" s="78" customFormat="1" ht="14.25" customHeight="1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  <row r="233" s="78" customFormat="1" ht="15"/>
    <row r="234" s="78" customFormat="1" ht="15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52" r:id="rId1"/>
  <rowBreaks count="1" manualBreakCount="1">
    <brk id="89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showGridLines="0" view="pageBreakPreview" zoomScale="50" zoomScaleNormal="75" zoomScaleSheetLayoutView="50" workbookViewId="0" topLeftCell="A1">
      <selection activeCell="M73" sqref="M73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78" customFormat="1" ht="15.75">
      <c r="A1" s="75">
        <v>12</v>
      </c>
      <c r="B1" s="76" t="s">
        <v>308</v>
      </c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="78" customFormat="1" ht="15">
      <c r="B2" s="339"/>
    </row>
    <row r="3" spans="1:2" s="78" customFormat="1" ht="16.5" customHeight="1">
      <c r="A3" s="307" t="s">
        <v>579</v>
      </c>
      <c r="B3" s="140" t="s">
        <v>411</v>
      </c>
    </row>
    <row r="4" spans="1:3" s="78" customFormat="1" ht="16.5" customHeight="1">
      <c r="A4" s="64">
        <v>1</v>
      </c>
      <c r="B4" s="140" t="s">
        <v>284</v>
      </c>
      <c r="C4" s="287"/>
    </row>
    <row r="5" spans="1:3" s="78" customFormat="1" ht="16.5" customHeight="1">
      <c r="A5" s="64"/>
      <c r="B5" s="140" t="s">
        <v>453</v>
      </c>
      <c r="C5" s="287"/>
    </row>
    <row r="6" spans="1:3" s="78" customFormat="1" ht="16.5" customHeight="1">
      <c r="A6" s="64">
        <v>2</v>
      </c>
      <c r="B6" s="140" t="s">
        <v>580</v>
      </c>
      <c r="C6" s="287"/>
    </row>
    <row r="7" spans="1:3" s="78" customFormat="1" ht="16.5" customHeight="1">
      <c r="A7" s="64">
        <v>3</v>
      </c>
      <c r="B7" s="140" t="s">
        <v>285</v>
      </c>
      <c r="C7" s="287"/>
    </row>
    <row r="8" spans="1:3" s="78" customFormat="1" ht="16.5" customHeight="1">
      <c r="A8" s="64">
        <v>4</v>
      </c>
      <c r="B8" s="140" t="s">
        <v>313</v>
      </c>
      <c r="C8" s="287"/>
    </row>
    <row r="9" spans="1:3" s="78" customFormat="1" ht="16.5" customHeight="1">
      <c r="A9" s="64">
        <v>5</v>
      </c>
      <c r="B9" s="140" t="s">
        <v>983</v>
      </c>
      <c r="C9" s="287"/>
    </row>
    <row r="10" spans="1:3" s="78" customFormat="1" ht="16.5" customHeight="1">
      <c r="A10" s="64"/>
      <c r="B10" s="140" t="s">
        <v>862</v>
      </c>
      <c r="C10" s="287"/>
    </row>
    <row r="11" spans="1:3" s="78" customFormat="1" ht="16.5" customHeight="1">
      <c r="A11" s="64"/>
      <c r="B11" s="140" t="s">
        <v>733</v>
      </c>
      <c r="C11" s="287"/>
    </row>
    <row r="12" spans="1:2" s="78" customFormat="1" ht="16.5" customHeight="1">
      <c r="A12" s="64">
        <v>6</v>
      </c>
      <c r="B12" s="140" t="s">
        <v>984</v>
      </c>
    </row>
    <row r="13" spans="1:2" s="78" customFormat="1" ht="16.5" customHeight="1">
      <c r="A13" s="64">
        <v>7</v>
      </c>
      <c r="B13" s="140" t="s">
        <v>608</v>
      </c>
    </row>
    <row r="14" spans="1:2" s="78" customFormat="1" ht="16.5" customHeight="1">
      <c r="A14" s="64">
        <v>8</v>
      </c>
      <c r="B14" s="140" t="s">
        <v>985</v>
      </c>
    </row>
    <row r="15" spans="1:2" s="78" customFormat="1" ht="16.5" customHeight="1">
      <c r="A15" s="64">
        <v>9</v>
      </c>
      <c r="B15" s="140" t="s">
        <v>986</v>
      </c>
    </row>
    <row r="16" spans="1:2" s="78" customFormat="1" ht="16.5" customHeight="1">
      <c r="A16" s="64">
        <v>10</v>
      </c>
      <c r="B16" s="140" t="s">
        <v>314</v>
      </c>
    </row>
    <row r="17" spans="1:2" s="78" customFormat="1" ht="16.5" customHeight="1">
      <c r="A17" s="64"/>
      <c r="B17" s="140" t="s">
        <v>315</v>
      </c>
    </row>
    <row r="18" spans="1:2" s="78" customFormat="1" ht="16.5" customHeight="1">
      <c r="A18" s="64">
        <v>11</v>
      </c>
      <c r="B18" s="140" t="s">
        <v>734</v>
      </c>
    </row>
    <row r="19" spans="1:2" s="78" customFormat="1" ht="16.5" customHeight="1">
      <c r="A19" s="64"/>
      <c r="B19" s="140" t="s">
        <v>735</v>
      </c>
    </row>
    <row r="20" spans="1:2" s="78" customFormat="1" ht="16.5" customHeight="1">
      <c r="A20" s="64"/>
      <c r="B20" s="140" t="s">
        <v>736</v>
      </c>
    </row>
    <row r="21" spans="1:2" s="78" customFormat="1" ht="16.5" customHeight="1">
      <c r="A21" s="64">
        <v>12</v>
      </c>
      <c r="B21" s="140" t="s">
        <v>258</v>
      </c>
    </row>
    <row r="22" spans="1:2" s="78" customFormat="1" ht="16.5" customHeight="1">
      <c r="A22" s="64"/>
      <c r="B22" s="140" t="s">
        <v>741</v>
      </c>
    </row>
    <row r="23" spans="1:2" s="78" customFormat="1" ht="16.5" customHeight="1">
      <c r="A23" s="64">
        <v>13</v>
      </c>
      <c r="B23" s="140" t="s">
        <v>304</v>
      </c>
    </row>
    <row r="24" spans="1:2" s="78" customFormat="1" ht="16.5" customHeight="1">
      <c r="A24" s="64"/>
      <c r="B24" s="140" t="s">
        <v>305</v>
      </c>
    </row>
    <row r="25" spans="1:2" s="78" customFormat="1" ht="16.5" customHeight="1">
      <c r="A25" s="64">
        <v>14</v>
      </c>
      <c r="B25" s="140" t="s">
        <v>306</v>
      </c>
    </row>
    <row r="26" spans="1:2" s="78" customFormat="1" ht="16.5" customHeight="1">
      <c r="A26" s="64"/>
      <c r="B26" s="140" t="s">
        <v>67</v>
      </c>
    </row>
    <row r="27" spans="1:2" s="78" customFormat="1" ht="16.5" customHeight="1">
      <c r="A27" s="64">
        <v>15</v>
      </c>
      <c r="B27" s="140" t="s">
        <v>69</v>
      </c>
    </row>
    <row r="28" spans="1:2" s="78" customFormat="1" ht="16.5" customHeight="1">
      <c r="A28" s="64"/>
      <c r="B28" s="140" t="s">
        <v>70</v>
      </c>
    </row>
    <row r="29" spans="1:2" s="78" customFormat="1" ht="16.5" customHeight="1">
      <c r="A29" s="64">
        <v>16</v>
      </c>
      <c r="B29" s="140" t="s">
        <v>71</v>
      </c>
    </row>
    <row r="30" spans="1:2" s="78" customFormat="1" ht="16.5" customHeight="1">
      <c r="A30" s="64">
        <v>17</v>
      </c>
      <c r="B30" s="140" t="s">
        <v>120</v>
      </c>
    </row>
    <row r="31" spans="1:2" s="78" customFormat="1" ht="16.5" customHeight="1">
      <c r="A31" s="64"/>
      <c r="B31" s="140"/>
    </row>
    <row r="32" spans="1:2" s="78" customFormat="1" ht="16.5" customHeight="1">
      <c r="A32" s="64"/>
      <c r="B32" s="140"/>
    </row>
    <row r="33" spans="1:2" s="78" customFormat="1" ht="16.5" customHeight="1">
      <c r="A33" s="64"/>
      <c r="B33" s="140"/>
    </row>
    <row r="34" spans="1:2" s="78" customFormat="1" ht="16.5" customHeight="1">
      <c r="A34" s="140" t="s">
        <v>72</v>
      </c>
      <c r="B34" s="339"/>
    </row>
    <row r="35" s="78" customFormat="1" ht="16.5" customHeight="1">
      <c r="B35" s="140" t="s">
        <v>73</v>
      </c>
    </row>
    <row r="36" s="78" customFormat="1" ht="16.5" customHeight="1">
      <c r="B36" s="140" t="s">
        <v>75</v>
      </c>
    </row>
    <row r="37" s="78" customFormat="1" ht="16.5" customHeight="1">
      <c r="B37" s="140"/>
    </row>
    <row r="38" s="78" customFormat="1" ht="16.5" customHeight="1">
      <c r="B38" s="140"/>
    </row>
    <row r="39" spans="1:7" s="78" customFormat="1" ht="14.25" customHeight="1">
      <c r="A39" s="340" t="s">
        <v>1113</v>
      </c>
      <c r="B39" s="341"/>
      <c r="C39" s="124"/>
      <c r="D39" s="124"/>
      <c r="E39" s="124"/>
      <c r="F39" s="124"/>
      <c r="G39" s="124"/>
    </row>
    <row r="40" spans="1:7" s="78" customFormat="1" ht="14.25" customHeight="1">
      <c r="A40" s="340"/>
      <c r="B40" s="342"/>
      <c r="C40" s="285"/>
      <c r="D40" s="285"/>
      <c r="E40" s="285"/>
      <c r="F40" s="285"/>
      <c r="G40" s="285"/>
    </row>
    <row r="41" spans="1:7" s="78" customFormat="1" ht="14.25" customHeight="1">
      <c r="A41" s="146"/>
      <c r="B41" s="147" t="s">
        <v>668</v>
      </c>
      <c r="C41" s="405" t="s">
        <v>1148</v>
      </c>
      <c r="D41" s="343" t="s">
        <v>1004</v>
      </c>
      <c r="E41" s="148" t="s">
        <v>964</v>
      </c>
      <c r="F41" s="148"/>
      <c r="G41" s="343"/>
    </row>
    <row r="42" spans="1:7" s="78" customFormat="1" ht="14.25" customHeight="1">
      <c r="A42" s="344"/>
      <c r="B42" s="149">
        <v>38870.63</v>
      </c>
      <c r="C42" s="345">
        <v>277073</v>
      </c>
      <c r="D42" s="346"/>
      <c r="E42" s="345">
        <v>1277423.4</v>
      </c>
      <c r="F42" s="347"/>
      <c r="G42" s="346"/>
    </row>
    <row r="43" spans="1:2" s="78" customFormat="1" ht="14.25" customHeight="1">
      <c r="A43" s="348"/>
      <c r="B43" s="150" t="s">
        <v>442</v>
      </c>
    </row>
    <row r="44" spans="1:7" s="78" customFormat="1" ht="14.25" customHeight="1">
      <c r="A44" s="348"/>
      <c r="B44" s="349"/>
      <c r="C44" s="348"/>
      <c r="D44" s="348"/>
      <c r="E44" s="348"/>
      <c r="F44" s="77"/>
      <c r="G44" s="348"/>
    </row>
    <row r="45" spans="1:7" s="78" customFormat="1" ht="16.5" customHeight="1">
      <c r="A45" s="348"/>
      <c r="B45" s="349"/>
      <c r="C45" s="348"/>
      <c r="D45" s="348"/>
      <c r="E45" s="348"/>
      <c r="F45" s="77"/>
      <c r="G45" s="348"/>
    </row>
    <row r="46" spans="1:2" s="78" customFormat="1" ht="16.5" customHeight="1">
      <c r="A46" s="140" t="s">
        <v>328</v>
      </c>
      <c r="B46" s="339"/>
    </row>
    <row r="47" spans="1:2" s="78" customFormat="1" ht="16.5" customHeight="1">
      <c r="A47" s="74" t="s">
        <v>94</v>
      </c>
      <c r="B47" s="140" t="s">
        <v>887</v>
      </c>
    </row>
    <row r="48" spans="1:2" s="78" customFormat="1" ht="16.5" customHeight="1">
      <c r="A48" s="74"/>
      <c r="B48" s="140" t="s">
        <v>888</v>
      </c>
    </row>
    <row r="49" spans="1:2" s="78" customFormat="1" ht="16.5" customHeight="1">
      <c r="A49" s="74" t="s">
        <v>88</v>
      </c>
      <c r="B49" s="140" t="s">
        <v>889</v>
      </c>
    </row>
    <row r="50" spans="1:2" s="78" customFormat="1" ht="16.5" customHeight="1">
      <c r="A50" s="74"/>
      <c r="B50" s="140" t="s">
        <v>890</v>
      </c>
    </row>
    <row r="51" spans="1:2" s="78" customFormat="1" ht="16.5" customHeight="1">
      <c r="A51" s="287"/>
      <c r="B51" s="339"/>
    </row>
    <row r="52" s="78" customFormat="1" ht="16.5" customHeight="1">
      <c r="B52" s="339"/>
    </row>
    <row r="53" spans="1:2" s="78" customFormat="1" ht="16.5" customHeight="1">
      <c r="A53" s="140" t="s">
        <v>90</v>
      </c>
      <c r="B53" s="339"/>
    </row>
    <row r="54" spans="1:2" s="78" customFormat="1" ht="16.5" customHeight="1">
      <c r="A54" s="74" t="s">
        <v>91</v>
      </c>
      <c r="B54" s="140" t="s">
        <v>89</v>
      </c>
    </row>
    <row r="55" spans="1:2" s="78" customFormat="1" ht="16.5" customHeight="1">
      <c r="A55" s="74" t="s">
        <v>1071</v>
      </c>
      <c r="B55" s="140" t="s">
        <v>1191</v>
      </c>
    </row>
    <row r="56" spans="1:2" s="78" customFormat="1" ht="16.5" customHeight="1">
      <c r="A56" s="74"/>
      <c r="B56" s="140" t="s">
        <v>1193</v>
      </c>
    </row>
    <row r="57" spans="1:2" s="78" customFormat="1" ht="16.5" customHeight="1">
      <c r="A57" s="74"/>
      <c r="B57" s="140" t="s">
        <v>1194</v>
      </c>
    </row>
    <row r="58" spans="1:2" s="78" customFormat="1" ht="17.25" customHeight="1">
      <c r="A58" s="74"/>
      <c r="B58" s="140" t="s">
        <v>1195</v>
      </c>
    </row>
    <row r="59" spans="1:2" s="78" customFormat="1" ht="18">
      <c r="A59" s="74" t="s">
        <v>1217</v>
      </c>
      <c r="B59" s="140" t="s">
        <v>1216</v>
      </c>
    </row>
    <row r="60" spans="1:2" s="78" customFormat="1" ht="18">
      <c r="A60" s="74" t="s">
        <v>329</v>
      </c>
      <c r="B60" s="140" t="s">
        <v>997</v>
      </c>
    </row>
    <row r="61" spans="1:2" s="78" customFormat="1" ht="15">
      <c r="A61" s="287"/>
      <c r="B61" s="78" t="s">
        <v>998</v>
      </c>
    </row>
    <row r="62" s="78" customFormat="1" ht="15">
      <c r="A62" s="287"/>
    </row>
    <row r="63" s="78" customFormat="1" ht="15">
      <c r="A63" s="287"/>
    </row>
    <row r="64" s="78" customFormat="1" ht="15">
      <c r="A64" s="287"/>
    </row>
    <row r="65" s="78" customFormat="1" ht="15">
      <c r="A65" s="287"/>
    </row>
    <row r="66" spans="1:2" s="78" customFormat="1" ht="15">
      <c r="A66" s="287"/>
      <c r="B66" s="339"/>
    </row>
    <row r="67" spans="1:2" s="78" customFormat="1" ht="15">
      <c r="A67" s="287"/>
      <c r="B67" s="339"/>
    </row>
    <row r="68" spans="1:2" s="78" customFormat="1" ht="15">
      <c r="A68" s="287"/>
      <c r="B68" s="339"/>
    </row>
    <row r="69" spans="1:2" s="78" customFormat="1" ht="15">
      <c r="A69" s="287"/>
      <c r="B69" s="339"/>
    </row>
    <row r="70" spans="1:13" s="78" customFormat="1" ht="15">
      <c r="A70" s="350"/>
      <c r="B70" s="350"/>
      <c r="C70" s="350"/>
      <c r="D70" s="285"/>
      <c r="E70" s="285"/>
      <c r="F70" s="285"/>
      <c r="G70" s="285"/>
      <c r="H70" s="285"/>
      <c r="I70" s="285"/>
      <c r="J70" s="285"/>
      <c r="K70" s="285"/>
      <c r="L70" s="285"/>
      <c r="M70" s="285"/>
    </row>
    <row r="71" spans="1:13" s="78" customFormat="1" ht="15">
      <c r="A71" s="77" t="s">
        <v>999</v>
      </c>
      <c r="B71" s="286"/>
      <c r="C71" s="286"/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pans="1:13" s="78" customFormat="1" ht="15">
      <c r="A72" s="77" t="s">
        <v>1000</v>
      </c>
      <c r="B72" s="28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78" customFormat="1" ht="15">
      <c r="A73" s="77" t="s">
        <v>1197</v>
      </c>
      <c r="B73" s="28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78" customFormat="1" ht="15">
      <c r="A74" s="77"/>
      <c r="B74" s="28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78" customFormat="1" ht="15">
      <c r="A75" s="77"/>
      <c r="B75" s="28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="78" customFormat="1" ht="15">
      <c r="B76" s="339"/>
    </row>
    <row r="77" s="78" customFormat="1" ht="15">
      <c r="B77" s="339"/>
    </row>
    <row r="78" s="78" customFormat="1" ht="15">
      <c r="B78" s="339"/>
    </row>
    <row r="79" s="78" customFormat="1" ht="15">
      <c r="B79" s="339"/>
    </row>
    <row r="80" s="78" customFormat="1" ht="15"/>
    <row r="81" s="78" customFormat="1" ht="15"/>
    <row r="82" s="78" customFormat="1" ht="15"/>
    <row r="83" s="78" customFormat="1" ht="15"/>
    <row r="84" s="78" customFormat="1" ht="15"/>
    <row r="85" s="78" customFormat="1" ht="15"/>
    <row r="86" s="78" customFormat="1" ht="15"/>
    <row r="87" s="78" customFormat="1" ht="15"/>
    <row r="88" s="78" customFormat="1" ht="15"/>
    <row r="89" s="78" customFormat="1" ht="15"/>
    <row r="90" s="78" customFormat="1" ht="15"/>
    <row r="91" s="78" customFormat="1" ht="15"/>
    <row r="92" s="78" customFormat="1" ht="15"/>
    <row r="93" s="78" customFormat="1" ht="15"/>
    <row r="94" s="78" customFormat="1" ht="15"/>
    <row r="95" s="78" customFormat="1" ht="15"/>
    <row r="96" s="78" customFormat="1" ht="15"/>
    <row r="97" s="78" customFormat="1" ht="15"/>
    <row r="98" s="78" customFormat="1" ht="15"/>
    <row r="99" s="78" customFormat="1" ht="15"/>
    <row r="100" s="78" customFormat="1" ht="15"/>
    <row r="101" s="78" customFormat="1" ht="15"/>
    <row r="102" s="78" customFormat="1" ht="15"/>
    <row r="103" s="78" customFormat="1" ht="15"/>
    <row r="104" s="78" customFormat="1" ht="15"/>
    <row r="105" s="78" customFormat="1" ht="15"/>
    <row r="106" s="78" customFormat="1" ht="15"/>
    <row r="107" s="78" customFormat="1" ht="15"/>
    <row r="108" s="78" customFormat="1" ht="15"/>
    <row r="109" s="78" customFormat="1" ht="15"/>
    <row r="110" s="78" customFormat="1" ht="15"/>
    <row r="111" s="78" customFormat="1" ht="15"/>
    <row r="112" s="78" customFormat="1" ht="15"/>
    <row r="113" s="78" customFormat="1" ht="15"/>
    <row r="114" s="78" customFormat="1" ht="15"/>
    <row r="115" s="78" customFormat="1" ht="15"/>
    <row r="116" s="78" customFormat="1" ht="15"/>
    <row r="117" s="78" customFormat="1" ht="15"/>
    <row r="118" s="78" customFormat="1" ht="15"/>
    <row r="119" s="78" customFormat="1" ht="15"/>
    <row r="120" s="78" customFormat="1" ht="15"/>
    <row r="121" s="78" customFormat="1" ht="15"/>
    <row r="122" s="78" customFormat="1" ht="15"/>
    <row r="123" s="78" customFormat="1" ht="15"/>
    <row r="124" s="78" customFormat="1" ht="15"/>
    <row r="125" s="78" customFormat="1" ht="15"/>
    <row r="126" s="78" customFormat="1" ht="15"/>
    <row r="127" s="78" customFormat="1" ht="15"/>
    <row r="128" s="78" customFormat="1" ht="15"/>
    <row r="129" s="78" customFormat="1" ht="15"/>
    <row r="130" s="78" customFormat="1" ht="15"/>
    <row r="131" s="78" customFormat="1" ht="15"/>
    <row r="132" s="78" customFormat="1" ht="15"/>
    <row r="133" s="78" customFormat="1" ht="15"/>
    <row r="134" s="78" customFormat="1" ht="15"/>
    <row r="135" s="78" customFormat="1" ht="15"/>
    <row r="136" s="78" customFormat="1" ht="15"/>
    <row r="137" s="78" customFormat="1" ht="15"/>
    <row r="138" s="78" customFormat="1" ht="15"/>
    <row r="139" s="78" customFormat="1" ht="15"/>
    <row r="140" s="78" customFormat="1" ht="15"/>
    <row r="141" s="78" customFormat="1" ht="15"/>
    <row r="142" s="78" customFormat="1" ht="15"/>
    <row r="143" s="78" customFormat="1" ht="15"/>
    <row r="144" s="78" customFormat="1" ht="15"/>
    <row r="145" s="78" customFormat="1" ht="15"/>
    <row r="146" s="78" customFormat="1" ht="15"/>
    <row r="147" s="78" customFormat="1" ht="15"/>
    <row r="148" s="78" customFormat="1" ht="15"/>
    <row r="149" s="78" customFormat="1" ht="15"/>
    <row r="150" s="78" customFormat="1" ht="15"/>
    <row r="151" s="78" customFormat="1" ht="15"/>
    <row r="152" s="78" customFormat="1" ht="15"/>
    <row r="153" s="78" customFormat="1" ht="15"/>
    <row r="154" s="78" customFormat="1" ht="15"/>
    <row r="155" s="78" customFormat="1" ht="15"/>
    <row r="156" s="78" customFormat="1" ht="15"/>
    <row r="157" s="78" customFormat="1" ht="15"/>
    <row r="158" s="78" customFormat="1" ht="15"/>
    <row r="159" s="78" customFormat="1" ht="15"/>
    <row r="160" s="78" customFormat="1" ht="15"/>
    <row r="161" s="78" customFormat="1" ht="15"/>
    <row r="162" s="78" customFormat="1" ht="15"/>
    <row r="163" s="78" customFormat="1" ht="15"/>
    <row r="164" s="78" customFormat="1" ht="15"/>
    <row r="165" s="78" customFormat="1" ht="15"/>
    <row r="166" s="78" customFormat="1" ht="15"/>
    <row r="167" s="78" customFormat="1" ht="15"/>
    <row r="168" s="78" customFormat="1" ht="15"/>
    <row r="169" s="78" customFormat="1" ht="15"/>
    <row r="170" s="78" customFormat="1" ht="15"/>
    <row r="171" s="78" customFormat="1" ht="15"/>
    <row r="172" s="78" customFormat="1" ht="15"/>
    <row r="173" s="78" customFormat="1" ht="15"/>
    <row r="174" s="78" customFormat="1" ht="15"/>
    <row r="175" s="78" customFormat="1" ht="15"/>
    <row r="176" s="78" customFormat="1" ht="15"/>
    <row r="177" s="78" customFormat="1" ht="15"/>
    <row r="178" s="78" customFormat="1" ht="15"/>
    <row r="179" s="78" customFormat="1" ht="15"/>
    <row r="180" s="78" customFormat="1" ht="15"/>
    <row r="181" s="78" customFormat="1" ht="15"/>
    <row r="182" s="78" customFormat="1" ht="15"/>
    <row r="183" s="78" customFormat="1" ht="15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  <row r="233" s="78" customFormat="1" ht="15"/>
    <row r="234" s="78" customFormat="1" ht="15"/>
    <row r="235" s="78" customFormat="1" ht="15"/>
    <row r="236" s="78" customFormat="1" ht="15"/>
    <row r="237" s="78" customFormat="1" ht="15"/>
    <row r="238" s="78" customFormat="1" ht="15"/>
    <row r="239" s="78" customFormat="1" ht="15"/>
    <row r="240" s="78" customFormat="1" ht="15"/>
    <row r="241" s="78" customFormat="1" ht="15"/>
    <row r="242" s="78" customFormat="1" ht="15"/>
    <row r="243" s="78" customFormat="1" ht="15"/>
    <row r="244" s="78" customFormat="1" ht="15"/>
    <row r="245" s="78" customFormat="1" ht="15"/>
    <row r="246" s="78" customFormat="1" ht="15"/>
    <row r="247" s="78" customFormat="1" ht="15"/>
    <row r="248" s="78" customFormat="1" ht="15"/>
    <row r="249" s="78" customFormat="1" ht="15"/>
    <row r="250" s="78" customFormat="1" ht="15"/>
    <row r="251" s="78" customFormat="1" ht="15"/>
    <row r="252" s="78" customFormat="1" ht="15"/>
    <row r="253" s="78" customFormat="1" ht="15"/>
    <row r="254" s="78" customFormat="1" ht="15"/>
    <row r="255" s="78" customFormat="1" ht="15"/>
    <row r="256" s="78" customFormat="1" ht="15"/>
    <row r="257" s="78" customFormat="1" ht="15"/>
    <row r="258" s="78" customFormat="1" ht="15"/>
    <row r="259" s="78" customFormat="1" ht="15"/>
    <row r="260" s="78" customFormat="1" ht="15"/>
    <row r="261" s="78" customFormat="1" ht="15"/>
    <row r="262" s="78" customFormat="1" ht="15"/>
    <row r="263" s="78" customFormat="1" ht="15"/>
    <row r="264" s="78" customFormat="1" ht="15"/>
    <row r="265" s="78" customFormat="1" ht="15"/>
    <row r="266" s="78" customFormat="1" ht="15"/>
    <row r="267" s="78" customFormat="1" ht="15"/>
    <row r="268" s="78" customFormat="1" ht="15"/>
    <row r="269" s="78" customFormat="1" ht="15"/>
    <row r="270" s="78" customFormat="1" ht="15"/>
    <row r="271" s="78" customFormat="1" ht="15"/>
    <row r="272" s="78" customFormat="1" ht="15"/>
    <row r="273" s="78" customFormat="1" ht="15"/>
    <row r="274" s="78" customFormat="1" ht="15"/>
    <row r="275" s="78" customFormat="1" ht="15"/>
    <row r="276" s="78" customFormat="1" ht="15"/>
    <row r="277" s="78" customFormat="1" ht="15"/>
    <row r="278" s="78" customFormat="1" ht="15"/>
    <row r="279" s="78" customFormat="1" ht="15"/>
    <row r="280" s="78" customFormat="1" ht="15"/>
    <row r="281" s="78" customFormat="1" ht="15"/>
    <row r="282" s="78" customFormat="1" ht="15"/>
    <row r="283" s="78" customFormat="1" ht="15"/>
    <row r="284" s="78" customFormat="1" ht="15"/>
    <row r="285" s="78" customFormat="1" ht="15"/>
    <row r="286" s="78" customFormat="1" ht="15"/>
    <row r="287" s="78" customFormat="1" ht="15"/>
    <row r="288" s="78" customFormat="1" ht="15"/>
    <row r="289" s="78" customFormat="1" ht="15"/>
    <row r="290" s="78" customFormat="1" ht="15"/>
    <row r="291" s="78" customFormat="1" ht="15"/>
    <row r="292" s="78" customFormat="1" ht="15"/>
    <row r="293" s="78" customFormat="1" ht="15"/>
    <row r="294" s="78" customFormat="1" ht="15"/>
    <row r="295" s="78" customFormat="1" ht="15"/>
    <row r="296" s="78" customFormat="1" ht="15"/>
    <row r="297" s="78" customFormat="1" ht="15"/>
    <row r="298" s="78" customFormat="1" ht="15"/>
    <row r="299" s="78" customFormat="1" ht="15"/>
    <row r="300" s="78" customFormat="1" ht="15"/>
    <row r="301" s="78" customFormat="1" ht="15"/>
    <row r="302" s="78" customFormat="1" ht="15"/>
    <row r="303" s="78" customFormat="1" ht="15"/>
    <row r="304" s="78" customFormat="1" ht="15"/>
    <row r="305" s="78" customFormat="1" ht="15"/>
    <row r="306" s="78" customFormat="1" ht="15"/>
    <row r="307" s="78" customFormat="1" ht="15"/>
    <row r="308" s="78" customFormat="1" ht="15"/>
    <row r="309" s="78" customFormat="1" ht="15"/>
    <row r="310" s="78" customFormat="1" ht="15"/>
    <row r="311" s="78" customFormat="1" ht="15"/>
    <row r="312" s="78" customFormat="1" ht="15"/>
    <row r="313" s="78" customFormat="1" ht="15"/>
    <row r="314" s="78" customFormat="1" ht="15"/>
    <row r="315" s="78" customFormat="1" ht="15"/>
    <row r="316" s="78" customFormat="1" ht="15"/>
    <row r="317" s="78" customFormat="1" ht="15"/>
    <row r="318" s="78" customFormat="1" ht="15"/>
    <row r="319" s="78" customFormat="1" ht="15"/>
    <row r="320" s="78" customFormat="1" ht="15"/>
    <row r="321" s="78" customFormat="1" ht="15"/>
    <row r="322" s="78" customFormat="1" ht="15"/>
    <row r="323" s="78" customFormat="1" ht="15"/>
    <row r="324" s="78" customFormat="1" ht="15"/>
    <row r="325" s="78" customFormat="1" ht="15"/>
    <row r="326" s="78" customFormat="1" ht="15"/>
    <row r="327" s="78" customFormat="1" ht="15"/>
    <row r="328" s="78" customFormat="1" ht="15"/>
    <row r="329" s="78" customFormat="1" ht="15"/>
    <row r="330" s="78" customFormat="1" ht="15"/>
    <row r="331" s="78" customFormat="1" ht="15"/>
    <row r="332" s="78" customFormat="1" ht="15"/>
    <row r="333" s="78" customFormat="1" ht="15"/>
    <row r="334" s="78" customFormat="1" ht="15"/>
    <row r="335" s="78" customFormat="1" ht="15"/>
    <row r="336" s="78" customFormat="1" ht="15"/>
    <row r="337" s="78" customFormat="1" ht="15"/>
    <row r="338" s="78" customFormat="1" ht="15"/>
    <row r="339" s="78" customFormat="1" ht="15"/>
    <row r="340" s="78" customFormat="1" ht="15"/>
    <row r="341" s="78" customFormat="1" ht="15"/>
    <row r="342" s="78" customFormat="1" ht="15"/>
    <row r="343" s="78" customFormat="1" ht="15"/>
    <row r="344" s="78" customFormat="1" ht="15"/>
    <row r="345" s="78" customFormat="1" ht="15"/>
    <row r="346" s="78" customFormat="1" ht="15"/>
    <row r="347" s="78" customFormat="1" ht="15"/>
    <row r="348" s="78" customFormat="1" ht="15"/>
    <row r="349" s="78" customFormat="1" ht="15"/>
    <row r="350" s="78" customFormat="1" ht="15"/>
    <row r="351" s="78" customFormat="1" ht="15"/>
    <row r="352" s="78" customFormat="1" ht="15"/>
    <row r="353" s="78" customFormat="1" ht="15"/>
    <row r="354" s="78" customFormat="1" ht="15"/>
    <row r="355" s="78" customFormat="1" ht="15"/>
    <row r="356" s="78" customFormat="1" ht="15"/>
    <row r="357" s="78" customFormat="1" ht="15"/>
    <row r="358" s="78" customFormat="1" ht="15"/>
    <row r="359" s="78" customFormat="1" ht="15"/>
    <row r="360" s="78" customFormat="1" ht="15"/>
    <row r="361" s="78" customFormat="1" ht="15"/>
    <row r="362" s="78" customFormat="1" ht="15"/>
    <row r="363" s="78" customFormat="1" ht="15"/>
    <row r="364" s="78" customFormat="1" ht="15"/>
    <row r="365" s="78" customFormat="1" ht="15"/>
    <row r="366" s="78" customFormat="1" ht="15"/>
    <row r="367" s="78" customFormat="1" ht="15"/>
    <row r="368" s="78" customFormat="1" ht="15"/>
    <row r="369" s="78" customFormat="1" ht="15"/>
    <row r="370" s="78" customFormat="1" ht="15"/>
    <row r="371" s="78" customFormat="1" ht="15"/>
    <row r="372" s="78" customFormat="1" ht="15"/>
    <row r="373" s="78" customFormat="1" ht="15"/>
    <row r="374" s="78" customFormat="1" ht="15"/>
    <row r="375" s="78" customFormat="1" ht="15"/>
    <row r="376" s="78" customFormat="1" ht="15"/>
    <row r="377" s="78" customFormat="1" ht="15"/>
    <row r="378" s="78" customFormat="1" ht="15"/>
    <row r="379" s="78" customFormat="1" ht="15"/>
    <row r="380" s="78" customFormat="1" ht="15"/>
    <row r="381" s="78" customFormat="1" ht="15"/>
    <row r="382" s="78" customFormat="1" ht="15"/>
    <row r="383" s="78" customFormat="1" ht="15"/>
    <row r="384" s="78" customFormat="1" ht="15"/>
    <row r="385" s="78" customFormat="1" ht="15"/>
    <row r="386" s="78" customFormat="1" ht="15"/>
    <row r="387" s="78" customFormat="1" ht="15"/>
    <row r="388" s="78" customFormat="1" ht="15"/>
    <row r="389" s="78" customFormat="1" ht="15"/>
    <row r="390" s="78" customFormat="1" ht="15"/>
    <row r="391" s="78" customFormat="1" ht="15"/>
    <row r="392" s="78" customFormat="1" ht="15"/>
    <row r="393" s="78" customFormat="1" ht="15"/>
    <row r="394" s="78" customFormat="1" ht="15"/>
    <row r="395" s="78" customFormat="1" ht="15"/>
    <row r="396" s="78" customFormat="1" ht="15"/>
    <row r="397" s="78" customFormat="1" ht="15"/>
    <row r="398" s="78" customFormat="1" ht="15"/>
    <row r="399" s="78" customFormat="1" ht="15"/>
    <row r="400" s="78" customFormat="1" ht="15"/>
    <row r="401" s="78" customFormat="1" ht="15"/>
    <row r="402" s="78" customFormat="1" ht="15"/>
    <row r="403" s="78" customFormat="1" ht="15"/>
    <row r="404" s="78" customFormat="1" ht="15"/>
    <row r="405" s="78" customFormat="1" ht="15"/>
    <row r="406" s="78" customFormat="1" ht="15"/>
    <row r="407" s="78" customFormat="1" ht="15"/>
    <row r="408" s="78" customFormat="1" ht="15"/>
    <row r="409" s="78" customFormat="1" ht="15"/>
    <row r="410" s="78" customFormat="1" ht="15"/>
    <row r="411" s="78" customFormat="1" ht="15"/>
    <row r="412" s="78" customFormat="1" ht="15"/>
    <row r="413" s="78" customFormat="1" ht="15"/>
    <row r="414" s="78" customFormat="1" ht="15"/>
    <row r="415" s="78" customFormat="1" ht="15"/>
    <row r="416" s="78" customFormat="1" ht="15"/>
    <row r="417" s="78" customFormat="1" ht="15"/>
    <row r="418" s="78" customFormat="1" ht="15"/>
    <row r="419" s="78" customFormat="1" ht="15"/>
    <row r="420" s="78" customFormat="1" ht="15"/>
    <row r="421" s="78" customFormat="1" ht="15"/>
    <row r="422" s="78" customFormat="1" ht="15"/>
    <row r="423" s="78" customFormat="1" ht="15"/>
    <row r="424" s="78" customFormat="1" ht="15"/>
    <row r="425" s="78" customFormat="1" ht="15"/>
    <row r="426" s="78" customFormat="1" ht="15"/>
    <row r="427" s="78" customFormat="1" ht="15"/>
    <row r="428" s="78" customFormat="1" ht="15"/>
    <row r="429" s="78" customFormat="1" ht="15"/>
    <row r="430" s="78" customFormat="1" ht="15"/>
    <row r="431" s="78" customFormat="1" ht="15"/>
    <row r="432" s="78" customFormat="1" ht="15"/>
    <row r="433" s="78" customFormat="1" ht="15"/>
    <row r="434" s="78" customFormat="1" ht="15"/>
    <row r="435" s="78" customFormat="1" ht="15"/>
    <row r="436" s="78" customFormat="1" ht="15"/>
    <row r="437" s="78" customFormat="1" ht="15"/>
    <row r="438" s="78" customFormat="1" ht="15"/>
    <row r="439" s="78" customFormat="1" ht="15"/>
    <row r="440" s="78" customFormat="1" ht="15"/>
    <row r="441" s="78" customFormat="1" ht="15"/>
    <row r="442" s="78" customFormat="1" ht="15"/>
    <row r="443" s="78" customFormat="1" ht="15"/>
    <row r="444" s="78" customFormat="1" ht="15"/>
    <row r="445" s="78" customFormat="1" ht="15"/>
    <row r="446" s="78" customFormat="1" ht="15"/>
    <row r="447" s="78" customFormat="1" ht="15"/>
    <row r="448" s="78" customFormat="1" ht="15"/>
    <row r="449" s="78" customFormat="1" ht="15"/>
    <row r="450" s="78" customFormat="1" ht="15"/>
    <row r="451" s="78" customFormat="1" ht="15"/>
    <row r="452" s="78" customFormat="1" ht="15"/>
    <row r="453" s="78" customFormat="1" ht="15"/>
    <row r="454" s="78" customFormat="1" ht="15"/>
    <row r="455" s="78" customFormat="1" ht="15"/>
    <row r="456" s="78" customFormat="1" ht="15"/>
    <row r="457" s="78" customFormat="1" ht="15"/>
    <row r="458" s="78" customFormat="1" ht="15"/>
    <row r="459" s="78" customFormat="1" ht="15"/>
    <row r="460" s="78" customFormat="1" ht="15"/>
    <row r="461" s="78" customFormat="1" ht="15"/>
    <row r="462" s="78" customFormat="1" ht="15"/>
    <row r="463" s="78" customFormat="1" ht="15"/>
    <row r="464" s="78" customFormat="1" ht="15"/>
    <row r="465" s="78" customFormat="1" ht="15"/>
    <row r="466" s="78" customFormat="1" ht="15"/>
    <row r="467" s="78" customFormat="1" ht="15"/>
    <row r="468" s="78" customFormat="1" ht="15"/>
    <row r="469" s="78" customFormat="1" ht="15"/>
    <row r="470" s="78" customFormat="1" ht="15"/>
    <row r="471" s="78" customFormat="1" ht="15"/>
    <row r="472" s="78" customFormat="1" ht="15"/>
    <row r="473" s="78" customFormat="1" ht="15"/>
    <row r="474" s="78" customFormat="1" ht="15"/>
    <row r="475" s="78" customFormat="1" ht="15"/>
    <row r="476" s="78" customFormat="1" ht="15"/>
    <row r="477" s="78" customFormat="1" ht="15"/>
    <row r="478" s="78" customFormat="1" ht="15"/>
    <row r="479" s="78" customFormat="1" ht="15"/>
    <row r="480" s="78" customFormat="1" ht="15"/>
    <row r="481" s="78" customFormat="1" ht="15"/>
    <row r="482" s="78" customFormat="1" ht="15"/>
    <row r="483" s="78" customFormat="1" ht="15"/>
    <row r="484" s="78" customFormat="1" ht="15"/>
    <row r="485" s="78" customFormat="1" ht="15"/>
    <row r="486" s="78" customFormat="1" ht="15"/>
    <row r="487" s="78" customFormat="1" ht="15"/>
    <row r="488" s="78" customFormat="1" ht="15"/>
    <row r="489" s="78" customFormat="1" ht="15"/>
    <row r="490" s="78" customFormat="1" ht="15"/>
    <row r="491" s="78" customFormat="1" ht="15"/>
    <row r="492" s="78" customFormat="1" ht="15"/>
    <row r="493" s="78" customFormat="1" ht="15"/>
    <row r="494" s="78" customFormat="1" ht="15"/>
    <row r="495" s="78" customFormat="1" ht="15"/>
    <row r="496" s="78" customFormat="1" ht="15"/>
    <row r="497" s="78" customFormat="1" ht="15"/>
    <row r="498" s="78" customFormat="1" ht="15"/>
    <row r="499" s="78" customFormat="1" ht="15"/>
    <row r="500" s="78" customFormat="1" ht="15"/>
    <row r="501" s="78" customFormat="1" ht="15"/>
    <row r="502" s="78" customFormat="1" ht="15"/>
    <row r="503" s="78" customFormat="1" ht="15"/>
    <row r="504" s="78" customFormat="1" ht="15"/>
    <row r="505" s="78" customFormat="1" ht="15"/>
    <row r="506" s="78" customFormat="1" ht="15"/>
    <row r="507" s="78" customFormat="1" ht="15"/>
    <row r="508" s="78" customFormat="1" ht="15"/>
    <row r="509" s="78" customFormat="1" ht="15"/>
    <row r="510" s="78" customFormat="1" ht="15"/>
    <row r="511" s="78" customFormat="1" ht="15"/>
    <row r="512" s="78" customFormat="1" ht="15"/>
    <row r="513" s="78" customFormat="1" ht="15"/>
    <row r="514" s="78" customFormat="1" ht="15"/>
    <row r="515" s="78" customFormat="1" ht="15"/>
    <row r="516" s="78" customFormat="1" ht="15"/>
    <row r="517" s="78" customFormat="1" ht="15"/>
    <row r="518" s="78" customFormat="1" ht="15"/>
    <row r="519" s="78" customFormat="1" ht="15"/>
    <row r="520" s="78" customFormat="1" ht="15"/>
    <row r="521" s="78" customFormat="1" ht="15"/>
    <row r="522" s="78" customFormat="1" ht="15"/>
    <row r="523" s="78" customFormat="1" ht="15"/>
    <row r="524" s="78" customFormat="1" ht="15"/>
    <row r="525" s="78" customFormat="1" ht="15"/>
    <row r="526" s="78" customFormat="1" ht="15"/>
    <row r="527" s="78" customFormat="1" ht="15"/>
    <row r="528" s="78" customFormat="1" ht="15"/>
    <row r="529" s="78" customFormat="1" ht="15"/>
    <row r="530" s="78" customFormat="1" ht="15"/>
    <row r="531" s="78" customFormat="1" ht="15"/>
    <row r="532" s="78" customFormat="1" ht="15"/>
    <row r="533" s="78" customFormat="1" ht="15"/>
    <row r="534" s="78" customFormat="1" ht="15"/>
    <row r="535" s="78" customFormat="1" ht="15"/>
    <row r="536" s="78" customFormat="1" ht="15"/>
    <row r="537" s="78" customFormat="1" ht="15"/>
    <row r="538" s="78" customFormat="1" ht="15"/>
    <row r="539" s="78" customFormat="1" ht="15"/>
    <row r="540" s="78" customFormat="1" ht="15"/>
    <row r="541" s="78" customFormat="1" ht="15"/>
    <row r="542" s="78" customFormat="1" ht="15"/>
    <row r="543" s="78" customFormat="1" ht="15"/>
    <row r="544" s="78" customFormat="1" ht="15"/>
    <row r="545" s="78" customFormat="1" ht="15"/>
    <row r="546" s="78" customFormat="1" ht="15"/>
    <row r="547" s="78" customFormat="1" ht="15"/>
    <row r="548" s="78" customFormat="1" ht="15"/>
    <row r="549" s="78" customFormat="1" ht="15"/>
    <row r="550" s="78" customFormat="1" ht="15"/>
    <row r="551" s="78" customFormat="1" ht="15"/>
    <row r="552" s="78" customFormat="1" ht="15"/>
    <row r="553" s="78" customFormat="1" ht="15"/>
    <row r="554" s="78" customFormat="1" ht="15"/>
    <row r="555" s="78" customFormat="1" ht="15"/>
    <row r="556" s="78" customFormat="1" ht="15"/>
    <row r="557" s="78" customFormat="1" ht="15"/>
    <row r="558" s="78" customFormat="1" ht="15"/>
    <row r="559" s="78" customFormat="1" ht="15"/>
    <row r="560" s="78" customFormat="1" ht="15"/>
    <row r="561" s="78" customFormat="1" ht="15"/>
    <row r="562" s="78" customFormat="1" ht="15"/>
    <row r="563" s="78" customFormat="1" ht="15"/>
    <row r="564" s="78" customFormat="1" ht="15"/>
    <row r="565" s="78" customFormat="1" ht="15"/>
    <row r="566" s="78" customFormat="1" ht="15"/>
    <row r="567" s="78" customFormat="1" ht="15"/>
    <row r="568" s="78" customFormat="1" ht="15"/>
    <row r="569" s="78" customFormat="1" ht="15"/>
    <row r="570" s="78" customFormat="1" ht="15"/>
    <row r="571" s="78" customFormat="1" ht="15"/>
    <row r="572" s="78" customFormat="1" ht="15"/>
    <row r="573" s="78" customFormat="1" ht="15"/>
    <row r="574" s="78" customFormat="1" ht="15"/>
    <row r="575" s="78" customFormat="1" ht="15"/>
    <row r="576" s="78" customFormat="1" ht="15"/>
    <row r="577" s="78" customFormat="1" ht="15"/>
    <row r="578" s="78" customFormat="1" ht="15"/>
    <row r="579" s="78" customFormat="1" ht="15"/>
    <row r="580" s="78" customFormat="1" ht="15"/>
    <row r="581" s="78" customFormat="1" ht="15"/>
    <row r="582" s="78" customFormat="1" ht="15"/>
    <row r="583" s="78" customFormat="1" ht="15"/>
    <row r="584" s="78" customFormat="1" ht="15"/>
    <row r="585" s="78" customFormat="1" ht="15"/>
    <row r="586" s="78" customFormat="1" ht="15"/>
    <row r="587" s="78" customFormat="1" ht="15"/>
    <row r="588" s="78" customFormat="1" ht="15"/>
    <row r="589" s="78" customFormat="1" ht="15"/>
    <row r="590" s="78" customFormat="1" ht="15"/>
    <row r="591" s="78" customFormat="1" ht="15"/>
    <row r="592" s="78" customFormat="1" ht="15"/>
    <row r="593" s="78" customFormat="1" ht="15"/>
    <row r="594" s="78" customFormat="1" ht="15"/>
    <row r="595" s="78" customFormat="1" ht="15"/>
    <row r="596" s="78" customFormat="1" ht="15"/>
    <row r="597" s="78" customFormat="1" ht="15"/>
    <row r="598" s="78" customFormat="1" ht="15"/>
    <row r="599" s="78" customFormat="1" ht="15"/>
    <row r="600" s="78" customFormat="1" ht="15"/>
    <row r="601" s="78" customFormat="1" ht="15"/>
    <row r="602" s="78" customFormat="1" ht="15"/>
    <row r="603" s="78" customFormat="1" ht="15"/>
    <row r="604" s="78" customFormat="1" ht="15"/>
    <row r="605" s="78" customFormat="1" ht="15"/>
    <row r="606" s="78" customFormat="1" ht="15"/>
    <row r="607" s="78" customFormat="1" ht="15"/>
    <row r="608" s="78" customFormat="1" ht="15"/>
    <row r="609" s="78" customFormat="1" ht="15"/>
    <row r="610" s="78" customFormat="1" ht="15"/>
    <row r="611" s="78" customFormat="1" ht="15"/>
    <row r="612" s="78" customFormat="1" ht="15"/>
    <row r="613" s="78" customFormat="1" ht="15"/>
    <row r="614" s="78" customFormat="1" ht="15"/>
    <row r="615" s="78" customFormat="1" ht="15"/>
    <row r="616" s="78" customFormat="1" ht="15"/>
    <row r="617" s="78" customFormat="1" ht="15"/>
    <row r="618" s="78" customFormat="1" ht="15"/>
    <row r="619" s="78" customFormat="1" ht="15"/>
    <row r="620" s="78" customFormat="1" ht="15"/>
    <row r="621" s="78" customFormat="1" ht="15"/>
    <row r="622" s="78" customFormat="1" ht="15"/>
    <row r="623" s="78" customFormat="1" ht="15"/>
    <row r="624" s="78" customFormat="1" ht="15"/>
    <row r="625" s="78" customFormat="1" ht="15"/>
    <row r="626" s="78" customFormat="1" ht="15"/>
    <row r="627" s="78" customFormat="1" ht="15"/>
    <row r="628" s="78" customFormat="1" ht="15"/>
    <row r="629" s="78" customFormat="1" ht="15"/>
    <row r="630" s="78" customFormat="1" ht="15"/>
    <row r="631" s="78" customFormat="1" ht="15"/>
    <row r="632" s="78" customFormat="1" ht="15"/>
    <row r="633" s="78" customFormat="1" ht="15"/>
    <row r="634" s="78" customFormat="1" ht="15"/>
    <row r="635" s="78" customFormat="1" ht="15"/>
    <row r="636" s="78" customFormat="1" ht="15"/>
    <row r="637" s="78" customFormat="1" ht="15"/>
    <row r="638" s="78" customFormat="1" ht="15"/>
    <row r="639" s="78" customFormat="1" ht="15"/>
    <row r="640" s="78" customFormat="1" ht="15"/>
    <row r="641" s="78" customFormat="1" ht="15"/>
    <row r="642" s="78" customFormat="1" ht="15"/>
    <row r="643" s="78" customFormat="1" ht="15"/>
    <row r="644" s="78" customFormat="1" ht="15"/>
    <row r="645" s="78" customFormat="1" ht="15"/>
    <row r="646" s="78" customFormat="1" ht="15"/>
    <row r="647" s="78" customFormat="1" ht="15"/>
    <row r="648" s="78" customFormat="1" ht="15"/>
    <row r="649" s="78" customFormat="1" ht="15"/>
    <row r="650" s="78" customFormat="1" ht="15"/>
    <row r="651" s="78" customFormat="1" ht="15"/>
    <row r="652" s="78" customFormat="1" ht="15"/>
    <row r="653" s="78" customFormat="1" ht="15"/>
    <row r="654" s="78" customFormat="1" ht="15"/>
    <row r="655" s="78" customFormat="1" ht="15"/>
    <row r="656" s="78" customFormat="1" ht="15"/>
    <row r="657" s="78" customFormat="1" ht="15"/>
    <row r="658" s="78" customFormat="1" ht="15"/>
    <row r="659" s="78" customFormat="1" ht="15"/>
    <row r="660" s="78" customFormat="1" ht="15"/>
    <row r="661" s="78" customFormat="1" ht="15"/>
    <row r="662" s="78" customFormat="1" ht="15"/>
    <row r="663" s="78" customFormat="1" ht="15"/>
    <row r="664" s="78" customFormat="1" ht="15"/>
    <row r="665" s="78" customFormat="1" ht="15"/>
    <row r="666" s="78" customFormat="1" ht="15"/>
    <row r="667" s="78" customFormat="1" ht="15"/>
    <row r="668" s="78" customFormat="1" ht="15"/>
    <row r="669" s="78" customFormat="1" ht="15"/>
    <row r="670" s="78" customFormat="1" ht="15"/>
    <row r="671" s="78" customFormat="1" ht="15"/>
    <row r="672" s="78" customFormat="1" ht="15"/>
    <row r="673" s="78" customFormat="1" ht="15"/>
    <row r="674" s="78" customFormat="1" ht="15"/>
    <row r="675" s="78" customFormat="1" ht="15"/>
    <row r="676" s="78" customFormat="1" ht="15"/>
    <row r="677" s="78" customFormat="1" ht="15"/>
    <row r="678" s="78" customFormat="1" ht="15"/>
    <row r="679" s="78" customFormat="1" ht="15"/>
    <row r="680" s="78" customFormat="1" ht="15"/>
    <row r="681" s="78" customFormat="1" ht="15"/>
    <row r="682" s="78" customFormat="1" ht="15"/>
    <row r="683" s="78" customFormat="1" ht="15"/>
    <row r="684" s="78" customFormat="1" ht="15"/>
    <row r="685" s="78" customFormat="1" ht="15"/>
    <row r="686" s="78" customFormat="1" ht="15"/>
    <row r="687" s="78" customFormat="1" ht="15"/>
    <row r="688" s="78" customFormat="1" ht="15"/>
    <row r="689" s="78" customFormat="1" ht="15"/>
    <row r="690" s="78" customFormat="1" ht="15"/>
    <row r="691" s="78" customFormat="1" ht="15"/>
    <row r="692" s="78" customFormat="1" ht="15"/>
    <row r="693" s="78" customFormat="1" ht="15"/>
    <row r="694" s="78" customFormat="1" ht="15"/>
    <row r="695" s="78" customFormat="1" ht="15"/>
    <row r="696" s="78" customFormat="1" ht="15"/>
    <row r="697" s="78" customFormat="1" ht="15"/>
    <row r="698" s="78" customFormat="1" ht="15"/>
    <row r="699" s="78" customFormat="1" ht="15"/>
    <row r="700" s="78" customFormat="1" ht="15"/>
    <row r="701" s="78" customFormat="1" ht="15"/>
    <row r="702" s="78" customFormat="1" ht="15"/>
    <row r="703" s="78" customFormat="1" ht="15"/>
    <row r="704" s="78" customFormat="1" ht="15"/>
    <row r="705" s="78" customFormat="1" ht="15"/>
    <row r="706" s="78" customFormat="1" ht="15"/>
    <row r="707" s="78" customFormat="1" ht="15"/>
    <row r="708" s="78" customFormat="1" ht="15"/>
    <row r="709" s="78" customFormat="1" ht="15"/>
    <row r="710" s="78" customFormat="1" ht="15"/>
    <row r="711" s="78" customFormat="1" ht="15"/>
    <row r="712" s="78" customFormat="1" ht="15"/>
    <row r="713" s="78" customFormat="1" ht="15"/>
    <row r="714" s="78" customFormat="1" ht="15"/>
    <row r="715" s="78" customFormat="1" ht="15"/>
    <row r="716" s="78" customFormat="1" ht="15"/>
    <row r="717" s="78" customFormat="1" ht="15"/>
    <row r="718" s="78" customFormat="1" ht="15"/>
    <row r="719" s="78" customFormat="1" ht="15"/>
    <row r="720" s="78" customFormat="1" ht="15"/>
    <row r="721" s="78" customFormat="1" ht="15"/>
    <row r="722" s="78" customFormat="1" ht="15"/>
    <row r="723" s="78" customFormat="1" ht="15"/>
    <row r="724" s="78" customFormat="1" ht="15"/>
    <row r="725" s="78" customFormat="1" ht="15"/>
    <row r="726" s="78" customFormat="1" ht="15"/>
    <row r="727" s="78" customFormat="1" ht="15"/>
    <row r="728" s="78" customFormat="1" ht="15"/>
    <row r="729" s="78" customFormat="1" ht="15"/>
    <row r="730" s="78" customFormat="1" ht="15"/>
    <row r="731" s="78" customFormat="1" ht="15"/>
    <row r="732" s="78" customFormat="1" ht="15"/>
    <row r="733" s="78" customFormat="1" ht="15"/>
    <row r="734" s="78" customFormat="1" ht="15"/>
    <row r="735" s="78" customFormat="1" ht="15"/>
    <row r="736" s="78" customFormat="1" ht="15"/>
    <row r="737" s="78" customFormat="1" ht="15"/>
    <row r="738" s="78" customFormat="1" ht="15"/>
    <row r="739" s="78" customFormat="1" ht="15"/>
    <row r="740" s="78" customFormat="1" ht="15"/>
    <row r="741" s="78" customFormat="1" ht="15"/>
    <row r="742" s="78" customFormat="1" ht="15"/>
  </sheetData>
  <printOptions/>
  <pageMargins left="0.75" right="0.75" top="1" bottom="1" header="0.5" footer="0.5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67"/>
  <sheetViews>
    <sheetView view="pageBreakPreview" zoomScale="75" zoomScaleNormal="72" zoomScaleSheetLayoutView="75" workbookViewId="0" topLeftCell="A1">
      <selection activeCell="A1" sqref="A1"/>
    </sheetView>
  </sheetViews>
  <sheetFormatPr defaultColWidth="8.88671875" defaultRowHeight="15"/>
  <cols>
    <col min="1" max="1" width="23.10546875" style="0" customWidth="1"/>
    <col min="2" max="2" width="9.3359375" style="0" bestFit="1" customWidth="1"/>
    <col min="3" max="5" width="12.5546875" style="0" bestFit="1" customWidth="1"/>
  </cols>
  <sheetData>
    <row r="1" spans="1:5" ht="15">
      <c r="A1" s="428" t="s">
        <v>1135</v>
      </c>
      <c r="B1" s="428"/>
      <c r="C1" s="428"/>
      <c r="D1" s="428"/>
      <c r="E1" s="428"/>
    </row>
    <row r="2" spans="1:5" ht="15">
      <c r="A2" s="428" t="s">
        <v>1018</v>
      </c>
      <c r="B2" s="428" t="s">
        <v>1019</v>
      </c>
      <c r="C2" s="428">
        <v>482909124.56</v>
      </c>
      <c r="D2" s="428">
        <v>2631000</v>
      </c>
      <c r="E2" s="428">
        <v>480278124.56</v>
      </c>
    </row>
    <row r="3" spans="1:5" ht="15">
      <c r="A3" s="428" t="s">
        <v>1020</v>
      </c>
      <c r="B3" s="428" t="s">
        <v>1021</v>
      </c>
      <c r="C3" s="428">
        <v>1741921.43</v>
      </c>
      <c r="D3" s="428">
        <v>0</v>
      </c>
      <c r="E3" s="428">
        <v>1741921.43</v>
      </c>
    </row>
    <row r="4" spans="1:5" ht="15">
      <c r="A4" s="428" t="s">
        <v>1125</v>
      </c>
      <c r="B4" s="428" t="s">
        <v>1126</v>
      </c>
      <c r="C4" s="428">
        <v>73815000</v>
      </c>
      <c r="D4" s="428">
        <v>0</v>
      </c>
      <c r="E4" s="428">
        <v>73815000</v>
      </c>
    </row>
    <row r="5" spans="1:5" ht="15">
      <c r="A5" s="428" t="s">
        <v>1022</v>
      </c>
      <c r="B5" s="428" t="s">
        <v>1023</v>
      </c>
      <c r="C5" s="428">
        <v>6225000</v>
      </c>
      <c r="D5" s="428">
        <v>0</v>
      </c>
      <c r="E5" s="428">
        <v>6225000</v>
      </c>
    </row>
    <row r="6" spans="1:5" ht="15">
      <c r="A6" s="428" t="s">
        <v>1024</v>
      </c>
      <c r="B6" s="428" t="s">
        <v>1025</v>
      </c>
      <c r="C6" s="428">
        <v>82638000</v>
      </c>
      <c r="D6" s="428">
        <v>35329000</v>
      </c>
      <c r="E6" s="428">
        <v>47309000</v>
      </c>
    </row>
    <row r="7" spans="1:5" ht="15">
      <c r="A7" s="428" t="s">
        <v>1026</v>
      </c>
      <c r="B7" s="428" t="s">
        <v>1027</v>
      </c>
      <c r="C7" s="428">
        <v>145000</v>
      </c>
      <c r="D7" s="428">
        <v>0</v>
      </c>
      <c r="E7" s="428">
        <v>145000</v>
      </c>
    </row>
    <row r="8" spans="1:5" ht="15">
      <c r="A8" s="428" t="s">
        <v>1028</v>
      </c>
      <c r="B8" s="428" t="s">
        <v>1029</v>
      </c>
      <c r="C8" s="428">
        <v>19061946.02</v>
      </c>
      <c r="D8" s="428">
        <v>0</v>
      </c>
      <c r="E8" s="428">
        <v>19061946.02</v>
      </c>
    </row>
    <row r="9" spans="1:5" ht="15">
      <c r="A9" s="428" t="s">
        <v>1030</v>
      </c>
      <c r="B9" s="428" t="s">
        <v>1031</v>
      </c>
      <c r="C9" s="428">
        <v>34931000</v>
      </c>
      <c r="D9" s="428">
        <v>0</v>
      </c>
      <c r="E9" s="428">
        <v>34931000</v>
      </c>
    </row>
    <row r="10" spans="1:5" ht="15">
      <c r="A10" s="428" t="s">
        <v>138</v>
      </c>
      <c r="B10" s="428" t="s">
        <v>139</v>
      </c>
      <c r="C10" s="428">
        <v>32783000</v>
      </c>
      <c r="D10" s="428">
        <v>3030000</v>
      </c>
      <c r="E10" s="428">
        <v>29753000</v>
      </c>
    </row>
    <row r="11" spans="1:5" ht="15">
      <c r="A11" s="428" t="s">
        <v>140</v>
      </c>
      <c r="B11" s="428" t="s">
        <v>141</v>
      </c>
      <c r="C11" s="428">
        <v>253006000</v>
      </c>
      <c r="D11" s="428">
        <v>0</v>
      </c>
      <c r="E11" s="428">
        <v>253006000</v>
      </c>
    </row>
    <row r="12" spans="1:5" ht="15">
      <c r="A12" s="428" t="s">
        <v>142</v>
      </c>
      <c r="B12" s="428" t="s">
        <v>143</v>
      </c>
      <c r="C12" s="428">
        <v>517076000</v>
      </c>
      <c r="D12" s="428">
        <v>0</v>
      </c>
      <c r="E12" s="428">
        <v>517076000</v>
      </c>
    </row>
    <row r="13" spans="1:5" ht="15">
      <c r="A13" s="428" t="s">
        <v>144</v>
      </c>
      <c r="B13" s="428" t="s">
        <v>145</v>
      </c>
      <c r="C13" s="428">
        <v>1000000</v>
      </c>
      <c r="D13" s="428">
        <v>0</v>
      </c>
      <c r="E13" s="428">
        <v>1000000</v>
      </c>
    </row>
    <row r="14" spans="1:5" ht="15">
      <c r="A14" s="428" t="s">
        <v>146</v>
      </c>
      <c r="B14" s="428" t="s">
        <v>147</v>
      </c>
      <c r="C14" s="428">
        <v>880604000</v>
      </c>
      <c r="D14" s="428">
        <v>0</v>
      </c>
      <c r="E14" s="428">
        <v>880604000</v>
      </c>
    </row>
    <row r="15" spans="1:5" ht="15">
      <c r="A15" s="428" t="s">
        <v>148</v>
      </c>
      <c r="B15" s="428" t="s">
        <v>149</v>
      </c>
      <c r="C15" s="428">
        <v>51780713000</v>
      </c>
      <c r="D15" s="428">
        <v>0</v>
      </c>
      <c r="E15" s="428">
        <v>51780713000</v>
      </c>
    </row>
    <row r="16" spans="1:5" ht="15">
      <c r="A16" s="428" t="s">
        <v>150</v>
      </c>
      <c r="B16" s="428" t="s">
        <v>151</v>
      </c>
      <c r="C16" s="428">
        <v>22485452.79</v>
      </c>
      <c r="D16" s="428">
        <v>0</v>
      </c>
      <c r="E16" s="428">
        <v>22485452.79</v>
      </c>
    </row>
    <row r="17" spans="1:5" ht="15">
      <c r="A17" s="428" t="s">
        <v>152</v>
      </c>
      <c r="B17" s="428" t="s">
        <v>153</v>
      </c>
      <c r="C17" s="428">
        <v>3708000</v>
      </c>
      <c r="D17" s="428">
        <v>0</v>
      </c>
      <c r="E17" s="428">
        <v>3708000</v>
      </c>
    </row>
    <row r="18" spans="1:5" ht="15">
      <c r="A18" s="428" t="s">
        <v>1127</v>
      </c>
      <c r="B18" s="428" t="s">
        <v>1128</v>
      </c>
      <c r="C18" s="428">
        <v>185086694.44</v>
      </c>
      <c r="D18" s="428">
        <v>0</v>
      </c>
      <c r="E18" s="428">
        <v>185086694.44</v>
      </c>
    </row>
    <row r="19" spans="1:5" ht="15">
      <c r="A19" s="428" t="s">
        <v>1204</v>
      </c>
      <c r="B19" s="428" t="s">
        <v>1205</v>
      </c>
      <c r="C19" s="428">
        <v>375587000</v>
      </c>
      <c r="D19" s="428">
        <v>0</v>
      </c>
      <c r="E19" s="428">
        <v>375587000</v>
      </c>
    </row>
    <row r="20" spans="1:5" ht="15">
      <c r="A20" s="428" t="s">
        <v>154</v>
      </c>
      <c r="B20" s="428" t="s">
        <v>155</v>
      </c>
      <c r="C20" s="428">
        <v>1592000</v>
      </c>
      <c r="D20" s="428">
        <v>0</v>
      </c>
      <c r="E20" s="428">
        <v>1592000</v>
      </c>
    </row>
    <row r="21" spans="1:5" ht="15">
      <c r="A21" s="428" t="s">
        <v>1136</v>
      </c>
      <c r="B21" s="428"/>
      <c r="C21" s="428"/>
      <c r="D21" s="428"/>
      <c r="E21" s="428"/>
    </row>
    <row r="22" spans="1:5" ht="15">
      <c r="A22" s="428" t="s">
        <v>156</v>
      </c>
      <c r="B22" s="428" t="s">
        <v>157</v>
      </c>
      <c r="C22" s="428">
        <v>1968244957.46</v>
      </c>
      <c r="D22" s="428">
        <v>0</v>
      </c>
      <c r="E22" s="428">
        <v>1968244957.46</v>
      </c>
    </row>
    <row r="23" spans="1:5" ht="15">
      <c r="A23" s="428" t="s">
        <v>158</v>
      </c>
      <c r="B23" s="428" t="s">
        <v>159</v>
      </c>
      <c r="C23" s="428">
        <v>17300907000</v>
      </c>
      <c r="D23" s="428">
        <v>6683896000</v>
      </c>
      <c r="E23" s="428">
        <v>10617011000</v>
      </c>
    </row>
    <row r="24" spans="1:5" ht="15">
      <c r="A24" s="428" t="s">
        <v>160</v>
      </c>
      <c r="B24" s="428" t="s">
        <v>161</v>
      </c>
      <c r="C24" s="428">
        <v>1080000</v>
      </c>
      <c r="D24" s="428">
        <v>0</v>
      </c>
      <c r="E24" s="428">
        <v>1080000</v>
      </c>
    </row>
    <row r="25" spans="1:5" ht="15">
      <c r="A25" s="428" t="s">
        <v>162</v>
      </c>
      <c r="B25" s="428" t="s">
        <v>163</v>
      </c>
      <c r="C25" s="428">
        <v>1394127000</v>
      </c>
      <c r="D25" s="428">
        <v>0</v>
      </c>
      <c r="E25" s="428">
        <v>1394127000</v>
      </c>
    </row>
    <row r="26" spans="1:5" ht="15">
      <c r="A26" s="428" t="s">
        <v>164</v>
      </c>
      <c r="B26" s="428" t="s">
        <v>165</v>
      </c>
      <c r="C26" s="428">
        <v>87259655.03</v>
      </c>
      <c r="D26" s="428">
        <v>0</v>
      </c>
      <c r="E26" s="428">
        <v>87259655.03</v>
      </c>
    </row>
    <row r="27" spans="1:5" ht="15">
      <c r="A27" s="428" t="s">
        <v>166</v>
      </c>
      <c r="B27" s="428" t="s">
        <v>167</v>
      </c>
      <c r="C27" s="428">
        <v>454583000</v>
      </c>
      <c r="D27" s="428">
        <v>10000000</v>
      </c>
      <c r="E27" s="428">
        <v>444583000</v>
      </c>
    </row>
    <row r="28" spans="1:5" ht="15">
      <c r="A28" s="428" t="s">
        <v>168</v>
      </c>
      <c r="B28" s="428" t="s">
        <v>169</v>
      </c>
      <c r="C28" s="428">
        <v>589170000</v>
      </c>
      <c r="D28" s="428">
        <v>0</v>
      </c>
      <c r="E28" s="428">
        <v>589170000</v>
      </c>
    </row>
    <row r="29" spans="1:5" ht="15">
      <c r="A29" s="428" t="s">
        <v>170</v>
      </c>
      <c r="B29" s="428" t="s">
        <v>171</v>
      </c>
      <c r="C29" s="428">
        <v>71508000</v>
      </c>
      <c r="D29" s="428">
        <v>0</v>
      </c>
      <c r="E29" s="428">
        <v>71508000</v>
      </c>
    </row>
    <row r="30" spans="1:5" ht="15">
      <c r="A30" s="428" t="s">
        <v>172</v>
      </c>
      <c r="B30" s="428" t="s">
        <v>173</v>
      </c>
      <c r="C30" s="428">
        <v>33097864150</v>
      </c>
      <c r="D30" s="428">
        <v>1518000000</v>
      </c>
      <c r="E30" s="428">
        <v>31579864150</v>
      </c>
    </row>
    <row r="31" spans="1:5" ht="15">
      <c r="A31" s="428" t="s">
        <v>174</v>
      </c>
      <c r="B31" s="428" t="s">
        <v>175</v>
      </c>
      <c r="C31" s="428">
        <v>734000</v>
      </c>
      <c r="D31" s="428">
        <v>0</v>
      </c>
      <c r="E31" s="428">
        <v>734000</v>
      </c>
    </row>
    <row r="32" spans="1:5" ht="15">
      <c r="A32" s="428" t="s">
        <v>176</v>
      </c>
      <c r="B32" s="428" t="s">
        <v>177</v>
      </c>
      <c r="C32" s="428">
        <v>1677000</v>
      </c>
      <c r="D32" s="428">
        <v>0</v>
      </c>
      <c r="E32" s="428">
        <v>1677000</v>
      </c>
    </row>
    <row r="33" spans="1:5" ht="15">
      <c r="A33" s="428" t="s">
        <v>1041</v>
      </c>
      <c r="B33" s="428" t="s">
        <v>1042</v>
      </c>
      <c r="C33" s="428">
        <v>20000</v>
      </c>
      <c r="D33" s="428">
        <v>0</v>
      </c>
      <c r="E33" s="428">
        <v>20000</v>
      </c>
    </row>
    <row r="34" spans="1:5" ht="15">
      <c r="A34" s="428" t="s">
        <v>1043</v>
      </c>
      <c r="B34" s="428" t="s">
        <v>1044</v>
      </c>
      <c r="C34" s="428">
        <v>71927000</v>
      </c>
      <c r="D34" s="428">
        <v>0</v>
      </c>
      <c r="E34" s="428">
        <v>71927000</v>
      </c>
    </row>
    <row r="35" spans="1:5" ht="15">
      <c r="A35" s="428" t="s">
        <v>1045</v>
      </c>
      <c r="B35" s="428" t="s">
        <v>1046</v>
      </c>
      <c r="C35" s="428">
        <v>23812000</v>
      </c>
      <c r="D35" s="428">
        <v>0</v>
      </c>
      <c r="E35" s="428">
        <v>23812000</v>
      </c>
    </row>
    <row r="36" spans="1:5" ht="15">
      <c r="A36" s="428" t="s">
        <v>1047</v>
      </c>
      <c r="B36" s="428" t="s">
        <v>1048</v>
      </c>
      <c r="C36" s="428">
        <v>2960000</v>
      </c>
      <c r="D36" s="428">
        <v>0</v>
      </c>
      <c r="E36" s="428">
        <v>2960000</v>
      </c>
    </row>
    <row r="37" spans="1:5" ht="15">
      <c r="A37" s="428" t="s">
        <v>1049</v>
      </c>
      <c r="B37" s="428" t="s">
        <v>1050</v>
      </c>
      <c r="C37" s="428">
        <v>727508870459.53</v>
      </c>
      <c r="D37" s="428">
        <v>124017993374.23</v>
      </c>
      <c r="E37" s="428">
        <v>603490877085.3</v>
      </c>
    </row>
    <row r="38" spans="1:5" ht="15">
      <c r="A38" s="428" t="s">
        <v>1051</v>
      </c>
      <c r="B38" s="428" t="s">
        <v>1052</v>
      </c>
      <c r="C38" s="428">
        <v>12671000</v>
      </c>
      <c r="D38" s="428">
        <v>0</v>
      </c>
      <c r="E38" s="428">
        <v>12671000</v>
      </c>
    </row>
    <row r="39" spans="1:5" ht="15">
      <c r="A39" s="428" t="s">
        <v>1053</v>
      </c>
      <c r="B39" s="428" t="s">
        <v>1054</v>
      </c>
      <c r="C39" s="428">
        <v>1270000</v>
      </c>
      <c r="D39" s="428">
        <v>0</v>
      </c>
      <c r="E39" s="428">
        <v>1270000</v>
      </c>
    </row>
    <row r="40" spans="1:5" ht="15">
      <c r="A40" s="428" t="s">
        <v>1055</v>
      </c>
      <c r="B40" s="428" t="s">
        <v>1056</v>
      </c>
      <c r="C40" s="428">
        <v>9000000</v>
      </c>
      <c r="D40" s="428">
        <v>0</v>
      </c>
      <c r="E40" s="428">
        <v>9000000</v>
      </c>
    </row>
    <row r="41" spans="1:5" ht="15">
      <c r="A41" s="428" t="s">
        <v>1057</v>
      </c>
      <c r="B41" s="428" t="s">
        <v>1058</v>
      </c>
      <c r="C41" s="428">
        <v>4050000</v>
      </c>
      <c r="D41" s="428">
        <v>0</v>
      </c>
      <c r="E41" s="428">
        <v>4050000</v>
      </c>
    </row>
    <row r="42" spans="1:5" ht="15">
      <c r="A42" s="428" t="s">
        <v>1059</v>
      </c>
      <c r="B42" s="428" t="s">
        <v>1060</v>
      </c>
      <c r="C42" s="428">
        <v>31828000</v>
      </c>
      <c r="D42" s="428">
        <v>0</v>
      </c>
      <c r="E42" s="428">
        <v>31828000</v>
      </c>
    </row>
    <row r="43" spans="1:5" ht="15">
      <c r="A43" s="428" t="s">
        <v>1061</v>
      </c>
      <c r="B43" s="428" t="s">
        <v>1062</v>
      </c>
      <c r="C43" s="428">
        <v>9320000</v>
      </c>
      <c r="D43" s="428">
        <v>0</v>
      </c>
      <c r="E43" s="428">
        <v>9320000</v>
      </c>
    </row>
    <row r="44" spans="1:5" ht="15">
      <c r="A44" s="428" t="s">
        <v>1206</v>
      </c>
      <c r="B44" s="428" t="s">
        <v>1207</v>
      </c>
      <c r="C44" s="428">
        <v>1000</v>
      </c>
      <c r="D44" s="428">
        <v>0</v>
      </c>
      <c r="E44" s="428">
        <v>1000</v>
      </c>
    </row>
    <row r="45" spans="1:5" ht="15">
      <c r="A45" s="428" t="s">
        <v>1063</v>
      </c>
      <c r="B45" s="428" t="s">
        <v>1064</v>
      </c>
      <c r="C45" s="428">
        <v>992176357.93</v>
      </c>
      <c r="D45" s="428">
        <v>0</v>
      </c>
      <c r="E45" s="428">
        <v>992176357.93</v>
      </c>
    </row>
    <row r="46" spans="1:5" ht="15">
      <c r="A46" s="428" t="s">
        <v>1065</v>
      </c>
      <c r="B46" s="428" t="s">
        <v>1066</v>
      </c>
      <c r="C46" s="428">
        <v>34472636391.9</v>
      </c>
      <c r="D46" s="428">
        <v>0</v>
      </c>
      <c r="E46" s="428">
        <v>34472636391.9</v>
      </c>
    </row>
    <row r="47" spans="1:5" ht="15">
      <c r="A47" s="428" t="s">
        <v>1067</v>
      </c>
      <c r="B47" s="428" t="s">
        <v>1068</v>
      </c>
      <c r="C47" s="428">
        <v>188038757791.3</v>
      </c>
      <c r="D47" s="428">
        <v>5000250000</v>
      </c>
      <c r="E47" s="428">
        <v>183038507791.3</v>
      </c>
    </row>
    <row r="48" spans="1:5" ht="15">
      <c r="A48" s="428" t="s">
        <v>595</v>
      </c>
      <c r="B48" s="428" t="s">
        <v>596</v>
      </c>
      <c r="C48" s="428">
        <v>710000</v>
      </c>
      <c r="D48" s="428">
        <v>0</v>
      </c>
      <c r="E48" s="428">
        <v>710000</v>
      </c>
    </row>
    <row r="49" spans="1:5" ht="15">
      <c r="A49" s="428" t="s">
        <v>597</v>
      </c>
      <c r="B49" s="428" t="s">
        <v>598</v>
      </c>
      <c r="C49" s="428">
        <v>2718000</v>
      </c>
      <c r="D49" s="428">
        <v>0</v>
      </c>
      <c r="E49" s="428">
        <v>2718000</v>
      </c>
    </row>
    <row r="50" spans="1:5" ht="15">
      <c r="A50" s="428" t="s">
        <v>599</v>
      </c>
      <c r="B50" s="428" t="s">
        <v>600</v>
      </c>
      <c r="C50" s="428">
        <v>2469000</v>
      </c>
      <c r="D50" s="428">
        <v>0</v>
      </c>
      <c r="E50" s="428">
        <v>2469000</v>
      </c>
    </row>
    <row r="51" spans="1:5" ht="15">
      <c r="A51" s="428" t="s">
        <v>1208</v>
      </c>
      <c r="B51" s="428" t="s">
        <v>601</v>
      </c>
      <c r="C51" s="428">
        <v>93443000</v>
      </c>
      <c r="D51" s="428">
        <v>0</v>
      </c>
      <c r="E51" s="428">
        <v>93443000</v>
      </c>
    </row>
    <row r="52" spans="1:5" ht="15">
      <c r="A52" s="428" t="s">
        <v>181</v>
      </c>
      <c r="B52" s="428" t="s">
        <v>182</v>
      </c>
      <c r="C52" s="428">
        <v>1891689000</v>
      </c>
      <c r="D52" s="428">
        <v>0</v>
      </c>
      <c r="E52" s="428">
        <v>1891689000</v>
      </c>
    </row>
    <row r="53" spans="1:5" ht="15">
      <c r="A53" s="428" t="s">
        <v>183</v>
      </c>
      <c r="B53" s="428" t="s">
        <v>184</v>
      </c>
      <c r="C53" s="428">
        <v>8734000</v>
      </c>
      <c r="D53" s="428">
        <v>1200000</v>
      </c>
      <c r="E53" s="428">
        <v>7534000</v>
      </c>
    </row>
    <row r="54" spans="1:5" ht="15">
      <c r="A54" s="428" t="s">
        <v>185</v>
      </c>
      <c r="B54" s="428" t="s">
        <v>186</v>
      </c>
      <c r="C54" s="428">
        <v>11745542000</v>
      </c>
      <c r="D54" s="428">
        <v>1831962000</v>
      </c>
      <c r="E54" s="428">
        <v>9913580000</v>
      </c>
    </row>
    <row r="55" spans="1:5" ht="15">
      <c r="A55" s="428" t="s">
        <v>187</v>
      </c>
      <c r="B55" s="428" t="s">
        <v>188</v>
      </c>
      <c r="C55" s="428">
        <v>27444250000</v>
      </c>
      <c r="D55" s="428">
        <v>0</v>
      </c>
      <c r="E55" s="428">
        <v>27444250000</v>
      </c>
    </row>
    <row r="56" spans="1:5" ht="15">
      <c r="A56" s="428" t="s">
        <v>189</v>
      </c>
      <c r="B56" s="428" t="s">
        <v>190</v>
      </c>
      <c r="C56" s="428">
        <v>557000</v>
      </c>
      <c r="D56" s="428">
        <v>0</v>
      </c>
      <c r="E56" s="428">
        <v>557000</v>
      </c>
    </row>
    <row r="57" spans="1:5" ht="15">
      <c r="A57" s="428" t="s">
        <v>619</v>
      </c>
      <c r="B57" s="428" t="s">
        <v>620</v>
      </c>
      <c r="C57" s="428">
        <v>59641000</v>
      </c>
      <c r="D57" s="428">
        <v>0</v>
      </c>
      <c r="E57" s="428">
        <v>59641000</v>
      </c>
    </row>
    <row r="58" spans="1:5" ht="15">
      <c r="A58" s="428" t="s">
        <v>621</v>
      </c>
      <c r="B58" s="428" t="s">
        <v>622</v>
      </c>
      <c r="C58" s="428">
        <v>954204000</v>
      </c>
      <c r="D58" s="428">
        <v>0</v>
      </c>
      <c r="E58" s="428">
        <v>954204000</v>
      </c>
    </row>
    <row r="59" spans="1:5" ht="15">
      <c r="A59" s="428" t="s">
        <v>623</v>
      </c>
      <c r="B59" s="428" t="s">
        <v>624</v>
      </c>
      <c r="C59" s="428">
        <v>310000</v>
      </c>
      <c r="D59" s="428">
        <v>0</v>
      </c>
      <c r="E59" s="428">
        <v>310000</v>
      </c>
    </row>
    <row r="60" spans="1:5" ht="15">
      <c r="A60" s="428" t="s">
        <v>625</v>
      </c>
      <c r="B60" s="428" t="s">
        <v>626</v>
      </c>
      <c r="C60" s="428">
        <v>10398917803.41</v>
      </c>
      <c r="D60" s="428">
        <v>0</v>
      </c>
      <c r="E60" s="428">
        <v>10398917803.41</v>
      </c>
    </row>
    <row r="61" spans="1:5" ht="15">
      <c r="A61" s="428" t="s">
        <v>627</v>
      </c>
      <c r="B61" s="428" t="s">
        <v>628</v>
      </c>
      <c r="C61" s="428">
        <v>151005000</v>
      </c>
      <c r="D61" s="428">
        <v>12669000</v>
      </c>
      <c r="E61" s="428">
        <v>138336000</v>
      </c>
    </row>
    <row r="62" spans="1:5" ht="15">
      <c r="A62" s="428" t="s">
        <v>629</v>
      </c>
      <c r="B62" s="428" t="s">
        <v>630</v>
      </c>
      <c r="C62" s="428">
        <v>31702442</v>
      </c>
      <c r="D62" s="428">
        <v>0</v>
      </c>
      <c r="E62" s="428">
        <v>31702442</v>
      </c>
    </row>
    <row r="63" spans="1:5" ht="15">
      <c r="A63" s="428" t="s">
        <v>343</v>
      </c>
      <c r="B63" s="428" t="s">
        <v>344</v>
      </c>
      <c r="C63" s="428">
        <v>1963282000</v>
      </c>
      <c r="D63" s="428">
        <v>0</v>
      </c>
      <c r="E63" s="428">
        <v>1963282000</v>
      </c>
    </row>
    <row r="64" spans="1:5" ht="15">
      <c r="A64" s="428" t="s">
        <v>345</v>
      </c>
      <c r="B64" s="428" t="s">
        <v>346</v>
      </c>
      <c r="C64" s="428">
        <v>444943000</v>
      </c>
      <c r="D64" s="428">
        <v>6000000</v>
      </c>
      <c r="E64" s="428">
        <v>438943000</v>
      </c>
    </row>
    <row r="65" spans="1:5" ht="15">
      <c r="A65" s="428" t="s">
        <v>347</v>
      </c>
      <c r="B65" s="428" t="s">
        <v>348</v>
      </c>
      <c r="C65" s="428">
        <v>210272014000</v>
      </c>
      <c r="D65" s="428">
        <v>33582278000</v>
      </c>
      <c r="E65" s="428">
        <v>176689736000</v>
      </c>
    </row>
    <row r="66" spans="1:5" ht="15">
      <c r="A66" s="428" t="s">
        <v>349</v>
      </c>
      <c r="B66" s="428" t="s">
        <v>350</v>
      </c>
      <c r="C66" s="428">
        <v>289169014000</v>
      </c>
      <c r="D66" s="428">
        <v>33961461000</v>
      </c>
      <c r="E66" s="428">
        <v>255207553000</v>
      </c>
    </row>
    <row r="67" spans="1:5" ht="15">
      <c r="A67" s="428" t="s">
        <v>1129</v>
      </c>
      <c r="B67" s="428" t="s">
        <v>1130</v>
      </c>
      <c r="C67" s="428">
        <v>6029000</v>
      </c>
      <c r="D67" s="428">
        <v>0</v>
      </c>
      <c r="E67" s="428">
        <v>6029000</v>
      </c>
    </row>
    <row r="68" spans="1:5" ht="15">
      <c r="A68" s="428" t="s">
        <v>351</v>
      </c>
      <c r="B68" s="428" t="s">
        <v>352</v>
      </c>
      <c r="C68" s="428">
        <v>2506000</v>
      </c>
      <c r="D68" s="428">
        <v>0</v>
      </c>
      <c r="E68" s="428">
        <v>2506000</v>
      </c>
    </row>
    <row r="69" spans="1:5" ht="15">
      <c r="A69" s="428" t="s">
        <v>1131</v>
      </c>
      <c r="B69" s="428" t="s">
        <v>1132</v>
      </c>
      <c r="C69" s="428">
        <v>60000</v>
      </c>
      <c r="D69" s="428">
        <v>0</v>
      </c>
      <c r="E69" s="428">
        <v>60000</v>
      </c>
    </row>
    <row r="70" spans="1:5" ht="15">
      <c r="A70" s="428" t="s">
        <v>353</v>
      </c>
      <c r="B70" s="428" t="s">
        <v>354</v>
      </c>
      <c r="C70" s="428">
        <v>28112892000</v>
      </c>
      <c r="D70" s="428">
        <v>0</v>
      </c>
      <c r="E70" s="428">
        <v>28112892000</v>
      </c>
    </row>
    <row r="71" spans="1:5" ht="15">
      <c r="A71" s="428" t="s">
        <v>355</v>
      </c>
      <c r="B71" s="428" t="s">
        <v>356</v>
      </c>
      <c r="C71" s="428">
        <v>1586749449000</v>
      </c>
      <c r="D71" s="428">
        <v>210654176000</v>
      </c>
      <c r="E71" s="428">
        <v>1376095273000</v>
      </c>
    </row>
    <row r="72" spans="1:5" ht="15">
      <c r="A72" s="428" t="s">
        <v>357</v>
      </c>
      <c r="B72" s="428" t="s">
        <v>358</v>
      </c>
      <c r="C72" s="428">
        <v>1689150000</v>
      </c>
      <c r="D72" s="428">
        <v>0</v>
      </c>
      <c r="E72" s="428">
        <v>1689150000</v>
      </c>
    </row>
    <row r="73" spans="1:5" ht="15">
      <c r="A73" s="428" t="s">
        <v>359</v>
      </c>
      <c r="B73" s="428" t="s">
        <v>360</v>
      </c>
      <c r="C73" s="428">
        <v>59842441000</v>
      </c>
      <c r="D73" s="428">
        <v>33411766000</v>
      </c>
      <c r="E73" s="428">
        <v>26430675000</v>
      </c>
    </row>
    <row r="74" spans="1:5" ht="15">
      <c r="A74" s="428" t="s">
        <v>361</v>
      </c>
      <c r="B74" s="428" t="s">
        <v>362</v>
      </c>
      <c r="C74" s="428">
        <v>12762304000</v>
      </c>
      <c r="D74" s="428">
        <v>187553000</v>
      </c>
      <c r="E74" s="428">
        <v>12574751000</v>
      </c>
    </row>
    <row r="75" spans="1:5" ht="15">
      <c r="A75" s="428" t="s">
        <v>363</v>
      </c>
      <c r="B75" s="428" t="s">
        <v>364</v>
      </c>
      <c r="C75" s="428">
        <v>2950141000</v>
      </c>
      <c r="D75" s="428">
        <v>0</v>
      </c>
      <c r="E75" s="428">
        <v>2950141000</v>
      </c>
    </row>
    <row r="76" spans="1:5" ht="15">
      <c r="A76" s="428" t="s">
        <v>365</v>
      </c>
      <c r="B76" s="428" t="s">
        <v>366</v>
      </c>
      <c r="C76" s="428">
        <v>63365000</v>
      </c>
      <c r="D76" s="428">
        <v>0</v>
      </c>
      <c r="E76" s="428">
        <v>63365000</v>
      </c>
    </row>
    <row r="77" spans="1:5" ht="15">
      <c r="A77" s="428" t="s">
        <v>367</v>
      </c>
      <c r="B77" s="428" t="s">
        <v>368</v>
      </c>
      <c r="C77" s="428">
        <v>4602000</v>
      </c>
      <c r="D77" s="428">
        <v>0</v>
      </c>
      <c r="E77" s="428">
        <v>4602000</v>
      </c>
    </row>
    <row r="78" spans="1:5" ht="15">
      <c r="A78" s="428" t="s">
        <v>369</v>
      </c>
      <c r="B78" s="428" t="s">
        <v>370</v>
      </c>
      <c r="C78" s="428">
        <v>1000</v>
      </c>
      <c r="D78" s="428">
        <v>0</v>
      </c>
      <c r="E78" s="428">
        <v>1000</v>
      </c>
    </row>
    <row r="79" spans="1:5" ht="15">
      <c r="A79" s="428" t="s">
        <v>371</v>
      </c>
      <c r="B79" s="428" t="s">
        <v>372</v>
      </c>
      <c r="C79" s="428">
        <v>809245.08</v>
      </c>
      <c r="D79" s="428">
        <v>0</v>
      </c>
      <c r="E79" s="428">
        <v>809245.08</v>
      </c>
    </row>
    <row r="80" spans="1:5" ht="15">
      <c r="A80" s="428" t="s">
        <v>634</v>
      </c>
      <c r="B80" s="428" t="s">
        <v>635</v>
      </c>
      <c r="C80" s="428">
        <v>25000</v>
      </c>
      <c r="D80" s="428">
        <v>0</v>
      </c>
      <c r="E80" s="428">
        <v>25000</v>
      </c>
    </row>
    <row r="81" spans="1:5" ht="15">
      <c r="A81" s="428" t="s">
        <v>636</v>
      </c>
      <c r="B81" s="428" t="s">
        <v>637</v>
      </c>
      <c r="C81" s="428">
        <v>452000</v>
      </c>
      <c r="D81" s="428">
        <v>0</v>
      </c>
      <c r="E81" s="428">
        <v>452000</v>
      </c>
    </row>
    <row r="82" spans="1:5" ht="15">
      <c r="A82" s="428" t="s">
        <v>638</v>
      </c>
      <c r="B82" s="428" t="s">
        <v>639</v>
      </c>
      <c r="C82" s="428">
        <v>7363771000</v>
      </c>
      <c r="D82" s="428">
        <v>0</v>
      </c>
      <c r="E82" s="428">
        <v>7363771000</v>
      </c>
    </row>
    <row r="83" spans="1:5" ht="15">
      <c r="A83" s="428" t="s">
        <v>640</v>
      </c>
      <c r="B83" s="428" t="s">
        <v>641</v>
      </c>
      <c r="C83" s="428">
        <v>2072765000</v>
      </c>
      <c r="D83" s="428">
        <v>0</v>
      </c>
      <c r="E83" s="428">
        <v>2072765000</v>
      </c>
    </row>
    <row r="84" spans="1:5" ht="15">
      <c r="A84" s="428" t="s">
        <v>642</v>
      </c>
      <c r="B84" s="428" t="s">
        <v>643</v>
      </c>
      <c r="C84" s="428">
        <v>55221000</v>
      </c>
      <c r="D84" s="428">
        <v>448000</v>
      </c>
      <c r="E84" s="428">
        <v>54773000</v>
      </c>
    </row>
    <row r="85" spans="1:5" ht="15">
      <c r="A85" s="428" t="s">
        <v>644</v>
      </c>
      <c r="B85" s="428" t="s">
        <v>645</v>
      </c>
      <c r="C85" s="428">
        <v>2181354000</v>
      </c>
      <c r="D85" s="428">
        <v>0</v>
      </c>
      <c r="E85" s="428">
        <v>2181354000</v>
      </c>
    </row>
    <row r="86" spans="1:5" ht="15">
      <c r="A86" s="428" t="s">
        <v>646</v>
      </c>
      <c r="B86" s="428" t="s">
        <v>647</v>
      </c>
      <c r="C86" s="428">
        <v>41678220000</v>
      </c>
      <c r="D86" s="428">
        <v>27009195000</v>
      </c>
      <c r="E86" s="428">
        <v>14669025000</v>
      </c>
    </row>
    <row r="87" spans="1:5" ht="15">
      <c r="A87" s="428" t="s">
        <v>1209</v>
      </c>
      <c r="B87" s="428" t="s">
        <v>1210</v>
      </c>
      <c r="C87" s="428">
        <v>611074.07</v>
      </c>
      <c r="D87" s="428">
        <v>0</v>
      </c>
      <c r="E87" s="428">
        <v>611074.07</v>
      </c>
    </row>
    <row r="88" spans="1:5" ht="15">
      <c r="A88" s="428" t="s">
        <v>648</v>
      </c>
      <c r="B88" s="428" t="s">
        <v>649</v>
      </c>
      <c r="C88" s="428">
        <v>351059000</v>
      </c>
      <c r="D88" s="428">
        <v>0</v>
      </c>
      <c r="E88" s="428">
        <v>351059000</v>
      </c>
    </row>
    <row r="89" spans="1:5" ht="15">
      <c r="A89" s="428" t="s">
        <v>191</v>
      </c>
      <c r="B89" s="428" t="s">
        <v>192</v>
      </c>
      <c r="C89" s="428">
        <v>140000</v>
      </c>
      <c r="D89" s="428">
        <v>0</v>
      </c>
      <c r="E89" s="428">
        <v>140000</v>
      </c>
    </row>
    <row r="90" spans="1:5" ht="15">
      <c r="A90" s="428" t="s">
        <v>193</v>
      </c>
      <c r="B90" s="428" t="s">
        <v>194</v>
      </c>
      <c r="C90" s="428">
        <v>4427000</v>
      </c>
      <c r="D90" s="428">
        <v>150000</v>
      </c>
      <c r="E90" s="428">
        <v>4277000</v>
      </c>
    </row>
    <row r="91" spans="1:5" ht="15">
      <c r="A91" s="428" t="s">
        <v>195</v>
      </c>
      <c r="B91" s="428" t="s">
        <v>196</v>
      </c>
      <c r="C91" s="428">
        <v>37274000</v>
      </c>
      <c r="D91" s="428">
        <v>0</v>
      </c>
      <c r="E91" s="428">
        <v>37274000</v>
      </c>
    </row>
    <row r="92" spans="1:5" ht="15">
      <c r="A92" s="428" t="s">
        <v>197</v>
      </c>
      <c r="B92" s="428" t="s">
        <v>198</v>
      </c>
      <c r="C92" s="428">
        <v>38956000</v>
      </c>
      <c r="D92" s="428">
        <v>176000</v>
      </c>
      <c r="E92" s="428">
        <v>38780000</v>
      </c>
    </row>
    <row r="93" spans="1:5" ht="15">
      <c r="A93" s="428" t="s">
        <v>199</v>
      </c>
      <c r="B93" s="428" t="s">
        <v>200</v>
      </c>
      <c r="C93" s="428">
        <v>11376000</v>
      </c>
      <c r="D93" s="428">
        <v>519000</v>
      </c>
      <c r="E93" s="428">
        <v>10857000</v>
      </c>
    </row>
    <row r="94" spans="1:5" ht="15">
      <c r="A94" s="428" t="s">
        <v>201</v>
      </c>
      <c r="B94" s="428" t="s">
        <v>202</v>
      </c>
      <c r="C94" s="428">
        <v>190064000</v>
      </c>
      <c r="D94" s="428">
        <v>0</v>
      </c>
      <c r="E94" s="428">
        <v>190064000</v>
      </c>
    </row>
    <row r="95" spans="1:5" ht="15">
      <c r="A95" s="428" t="s">
        <v>203</v>
      </c>
      <c r="B95" s="428" t="s">
        <v>204</v>
      </c>
      <c r="C95" s="428">
        <v>433665000</v>
      </c>
      <c r="D95" s="428">
        <v>0</v>
      </c>
      <c r="E95" s="428">
        <v>433665000</v>
      </c>
    </row>
    <row r="96" spans="1:5" ht="15">
      <c r="A96" s="428" t="s">
        <v>205</v>
      </c>
      <c r="B96" s="428" t="s">
        <v>206</v>
      </c>
      <c r="C96" s="428">
        <v>6724000</v>
      </c>
      <c r="D96" s="428">
        <v>90000</v>
      </c>
      <c r="E96" s="428">
        <v>6634000</v>
      </c>
    </row>
    <row r="97" spans="1:5" ht="15">
      <c r="A97" s="428" t="s">
        <v>207</v>
      </c>
      <c r="B97" s="428" t="s">
        <v>208</v>
      </c>
      <c r="C97" s="428">
        <v>4093000</v>
      </c>
      <c r="D97" s="428">
        <v>0</v>
      </c>
      <c r="E97" s="428">
        <v>4093000</v>
      </c>
    </row>
    <row r="98" spans="1:5" ht="15">
      <c r="A98" s="428" t="s">
        <v>209</v>
      </c>
      <c r="B98" s="428" t="s">
        <v>210</v>
      </c>
      <c r="C98" s="428">
        <v>2157304000</v>
      </c>
      <c r="D98" s="428">
        <v>0</v>
      </c>
      <c r="E98" s="428">
        <v>2157304000</v>
      </c>
    </row>
    <row r="99" spans="1:5" ht="15">
      <c r="A99" s="428" t="s">
        <v>211</v>
      </c>
      <c r="B99" s="428" t="s">
        <v>212</v>
      </c>
      <c r="C99" s="428">
        <v>7426000</v>
      </c>
      <c r="D99" s="428">
        <v>0</v>
      </c>
      <c r="E99" s="428">
        <v>7426000</v>
      </c>
    </row>
    <row r="100" spans="1:5" ht="15">
      <c r="A100" s="428" t="s">
        <v>213</v>
      </c>
      <c r="B100" s="428" t="s">
        <v>214</v>
      </c>
      <c r="C100" s="428">
        <v>37596000</v>
      </c>
      <c r="D100" s="428">
        <v>0</v>
      </c>
      <c r="E100" s="428">
        <v>37596000</v>
      </c>
    </row>
    <row r="101" spans="1:5" ht="15">
      <c r="A101" s="428" t="s">
        <v>215</v>
      </c>
      <c r="B101" s="428" t="s">
        <v>216</v>
      </c>
      <c r="C101" s="428">
        <v>127000</v>
      </c>
      <c r="D101" s="428">
        <v>0</v>
      </c>
      <c r="E101" s="428">
        <v>127000</v>
      </c>
    </row>
    <row r="102" spans="1:5" ht="15">
      <c r="A102" s="428" t="s">
        <v>217</v>
      </c>
      <c r="B102" s="428" t="s">
        <v>218</v>
      </c>
      <c r="C102" s="428">
        <v>8382000</v>
      </c>
      <c r="D102" s="428">
        <v>0</v>
      </c>
      <c r="E102" s="428">
        <v>8382000</v>
      </c>
    </row>
    <row r="103" spans="1:5" ht="15">
      <c r="A103" s="428" t="s">
        <v>219</v>
      </c>
      <c r="B103" s="428" t="s">
        <v>220</v>
      </c>
      <c r="C103" s="428">
        <v>11450000</v>
      </c>
      <c r="D103" s="428">
        <v>0</v>
      </c>
      <c r="E103" s="428">
        <v>11450000</v>
      </c>
    </row>
    <row r="104" spans="1:5" ht="15">
      <c r="A104" s="428" t="s">
        <v>221</v>
      </c>
      <c r="B104" s="428" t="s">
        <v>222</v>
      </c>
      <c r="C104" s="428">
        <v>26257000</v>
      </c>
      <c r="D104" s="428">
        <v>0</v>
      </c>
      <c r="E104" s="428">
        <v>26257000</v>
      </c>
    </row>
    <row r="105" spans="1:5" ht="15">
      <c r="A105" s="428" t="s">
        <v>223</v>
      </c>
      <c r="B105" s="428" t="s">
        <v>224</v>
      </c>
      <c r="C105" s="428">
        <v>9624000</v>
      </c>
      <c r="D105" s="428">
        <v>0</v>
      </c>
      <c r="E105" s="428">
        <v>9624000</v>
      </c>
    </row>
    <row r="106" spans="1:5" ht="15">
      <c r="A106" s="428" t="s">
        <v>225</v>
      </c>
      <c r="B106" s="428" t="s">
        <v>226</v>
      </c>
      <c r="C106" s="428">
        <v>5922971000</v>
      </c>
      <c r="D106" s="428">
        <v>0</v>
      </c>
      <c r="E106" s="428">
        <v>5922971000</v>
      </c>
    </row>
    <row r="107" spans="1:5" ht="15">
      <c r="A107" s="428" t="s">
        <v>227</v>
      </c>
      <c r="B107" s="428" t="s">
        <v>228</v>
      </c>
      <c r="C107" s="428">
        <v>6940000</v>
      </c>
      <c r="D107" s="428">
        <v>0</v>
      </c>
      <c r="E107" s="428">
        <v>6940000</v>
      </c>
    </row>
    <row r="108" spans="1:5" ht="15">
      <c r="A108" s="428" t="s">
        <v>229</v>
      </c>
      <c r="B108" s="428" t="s">
        <v>230</v>
      </c>
      <c r="C108" s="428">
        <v>3371000</v>
      </c>
      <c r="D108" s="428">
        <v>0</v>
      </c>
      <c r="E108" s="428">
        <v>3371000</v>
      </c>
    </row>
    <row r="109" spans="1:5" ht="15">
      <c r="A109" s="428" t="s">
        <v>231</v>
      </c>
      <c r="B109" s="428" t="s">
        <v>232</v>
      </c>
      <c r="C109" s="428">
        <v>19025000</v>
      </c>
      <c r="D109" s="428">
        <v>0</v>
      </c>
      <c r="E109" s="428">
        <v>19025000</v>
      </c>
    </row>
    <row r="110" spans="1:5" ht="15">
      <c r="A110" s="428" t="s">
        <v>233</v>
      </c>
      <c r="B110" s="428" t="s">
        <v>234</v>
      </c>
      <c r="C110" s="428">
        <v>21984000</v>
      </c>
      <c r="D110" s="428">
        <v>0</v>
      </c>
      <c r="E110" s="428">
        <v>21984000</v>
      </c>
    </row>
    <row r="111" spans="1:5" ht="15">
      <c r="A111" s="428" t="s">
        <v>235</v>
      </c>
      <c r="B111" s="428" t="s">
        <v>236</v>
      </c>
      <c r="C111" s="428">
        <v>20941004000</v>
      </c>
      <c r="D111" s="428">
        <v>9838588000</v>
      </c>
      <c r="E111" s="428">
        <v>11102416000</v>
      </c>
    </row>
    <row r="112" spans="1:5" ht="15">
      <c r="A112" s="428" t="s">
        <v>912</v>
      </c>
      <c r="B112" s="428" t="s">
        <v>913</v>
      </c>
      <c r="C112" s="428">
        <v>357380000</v>
      </c>
      <c r="D112" s="428">
        <v>0</v>
      </c>
      <c r="E112" s="428">
        <v>357380000</v>
      </c>
    </row>
    <row r="113" spans="1:5" ht="15">
      <c r="A113" s="428" t="s">
        <v>918</v>
      </c>
      <c r="B113" s="428" t="s">
        <v>919</v>
      </c>
      <c r="C113" s="428">
        <v>52255000</v>
      </c>
      <c r="D113" s="428">
        <v>0</v>
      </c>
      <c r="E113" s="428">
        <v>52255000</v>
      </c>
    </row>
    <row r="114" spans="1:5" ht="15">
      <c r="A114" s="428" t="s">
        <v>920</v>
      </c>
      <c r="B114" s="428" t="s">
        <v>921</v>
      </c>
      <c r="C114" s="428">
        <v>161614000</v>
      </c>
      <c r="D114" s="428">
        <v>0</v>
      </c>
      <c r="E114" s="428">
        <v>161614000</v>
      </c>
    </row>
    <row r="115" spans="1:5" ht="15">
      <c r="A115" s="428" t="s">
        <v>922</v>
      </c>
      <c r="B115" s="428" t="s">
        <v>923</v>
      </c>
      <c r="C115" s="428">
        <v>30912237000</v>
      </c>
      <c r="D115" s="428">
        <v>3328661000</v>
      </c>
      <c r="E115" s="428">
        <v>27583576000</v>
      </c>
    </row>
    <row r="116" spans="1:5" ht="15">
      <c r="A116" s="428" t="s">
        <v>924</v>
      </c>
      <c r="B116" s="428" t="s">
        <v>925</v>
      </c>
      <c r="C116" s="428">
        <v>895517000</v>
      </c>
      <c r="D116" s="428">
        <v>346000</v>
      </c>
      <c r="E116" s="428">
        <v>895171000</v>
      </c>
    </row>
    <row r="117" spans="1:5" ht="15">
      <c r="A117" s="428" t="s">
        <v>1211</v>
      </c>
      <c r="B117" s="428" t="s">
        <v>1212</v>
      </c>
      <c r="C117" s="428">
        <v>1602000</v>
      </c>
      <c r="D117" s="428">
        <v>0</v>
      </c>
      <c r="E117" s="428">
        <v>1602000</v>
      </c>
    </row>
    <row r="118" spans="1:5" ht="15">
      <c r="A118" s="428" t="s">
        <v>926</v>
      </c>
      <c r="B118" s="428" t="s">
        <v>927</v>
      </c>
      <c r="C118" s="428">
        <v>67000</v>
      </c>
      <c r="D118" s="428">
        <v>0</v>
      </c>
      <c r="E118" s="428">
        <v>67000</v>
      </c>
    </row>
    <row r="119" spans="1:5" ht="15">
      <c r="A119" s="428" t="s">
        <v>928</v>
      </c>
      <c r="B119" s="428" t="s">
        <v>929</v>
      </c>
      <c r="C119" s="428">
        <v>24480000</v>
      </c>
      <c r="D119" s="428">
        <v>0</v>
      </c>
      <c r="E119" s="428">
        <v>24480000</v>
      </c>
    </row>
    <row r="120" spans="1:5" ht="15">
      <c r="A120" s="428" t="s">
        <v>930</v>
      </c>
      <c r="B120" s="428" t="s">
        <v>931</v>
      </c>
      <c r="C120" s="428">
        <v>5080000</v>
      </c>
      <c r="D120" s="428">
        <v>0</v>
      </c>
      <c r="E120" s="428">
        <v>5080000</v>
      </c>
    </row>
    <row r="121" spans="1:5" ht="15">
      <c r="A121" s="428" t="s">
        <v>932</v>
      </c>
      <c r="B121" s="428" t="s">
        <v>933</v>
      </c>
      <c r="C121" s="428">
        <v>3726528000</v>
      </c>
      <c r="D121" s="428">
        <v>43977000</v>
      </c>
      <c r="E121" s="428">
        <v>3682551000</v>
      </c>
    </row>
    <row r="122" spans="1:5" ht="15">
      <c r="A122" s="428" t="s">
        <v>934</v>
      </c>
      <c r="B122" s="428" t="s">
        <v>935</v>
      </c>
      <c r="C122" s="428">
        <v>73145000</v>
      </c>
      <c r="D122" s="428">
        <v>0</v>
      </c>
      <c r="E122" s="428">
        <v>73145000</v>
      </c>
    </row>
    <row r="123" spans="1:5" ht="15">
      <c r="A123" s="428" t="s">
        <v>936</v>
      </c>
      <c r="B123" s="428" t="s">
        <v>937</v>
      </c>
      <c r="C123" s="428">
        <v>1000000</v>
      </c>
      <c r="D123" s="428">
        <v>0</v>
      </c>
      <c r="E123" s="428">
        <v>1000000</v>
      </c>
    </row>
    <row r="124" spans="1:5" ht="15">
      <c r="A124" s="428" t="s">
        <v>938</v>
      </c>
      <c r="B124" s="428" t="s">
        <v>939</v>
      </c>
      <c r="C124" s="428">
        <v>352000</v>
      </c>
      <c r="D124" s="428">
        <v>0</v>
      </c>
      <c r="E124" s="428">
        <v>352000</v>
      </c>
    </row>
    <row r="125" spans="1:5" ht="15">
      <c r="A125" s="428" t="s">
        <v>940</v>
      </c>
      <c r="B125" s="428" t="s">
        <v>941</v>
      </c>
      <c r="C125" s="428">
        <v>814601000</v>
      </c>
      <c r="D125" s="428">
        <v>67000</v>
      </c>
      <c r="E125" s="428">
        <v>814534000</v>
      </c>
    </row>
    <row r="126" spans="1:5" ht="15">
      <c r="A126" s="428" t="s">
        <v>942</v>
      </c>
      <c r="B126" s="428" t="s">
        <v>943</v>
      </c>
      <c r="C126" s="428">
        <v>22170317725.83</v>
      </c>
      <c r="D126" s="428">
        <v>9286855000</v>
      </c>
      <c r="E126" s="428">
        <v>12883462725.83</v>
      </c>
    </row>
    <row r="127" spans="1:5" ht="15">
      <c r="A127" s="428" t="s">
        <v>944</v>
      </c>
      <c r="B127" s="428" t="s">
        <v>945</v>
      </c>
      <c r="C127" s="428">
        <v>6924681</v>
      </c>
      <c r="D127" s="428">
        <v>0</v>
      </c>
      <c r="E127" s="428">
        <v>6924681</v>
      </c>
    </row>
    <row r="128" spans="1:5" ht="15">
      <c r="A128" s="428" t="s">
        <v>946</v>
      </c>
      <c r="B128" s="428" t="s">
        <v>947</v>
      </c>
      <c r="C128" s="428">
        <v>553200000</v>
      </c>
      <c r="D128" s="428">
        <v>0</v>
      </c>
      <c r="E128" s="428">
        <v>553200000</v>
      </c>
    </row>
    <row r="129" spans="1:5" ht="15">
      <c r="A129" s="428" t="s">
        <v>948</v>
      </c>
      <c r="B129" s="428" t="s">
        <v>949</v>
      </c>
      <c r="C129" s="428">
        <v>45682000</v>
      </c>
      <c r="D129" s="428">
        <v>0</v>
      </c>
      <c r="E129" s="428">
        <v>45682000</v>
      </c>
    </row>
    <row r="130" spans="1:5" ht="15">
      <c r="A130" s="428" t="s">
        <v>950</v>
      </c>
      <c r="B130" s="428" t="s">
        <v>951</v>
      </c>
      <c r="C130" s="428">
        <v>65000</v>
      </c>
      <c r="D130" s="428">
        <v>0</v>
      </c>
      <c r="E130" s="428">
        <v>65000</v>
      </c>
    </row>
    <row r="131" spans="1:5" ht="15">
      <c r="A131" s="428" t="s">
        <v>952</v>
      </c>
      <c r="B131" s="428" t="s">
        <v>953</v>
      </c>
      <c r="C131" s="428">
        <v>157000000</v>
      </c>
      <c r="D131" s="428">
        <v>0</v>
      </c>
      <c r="E131" s="428">
        <v>157000000</v>
      </c>
    </row>
    <row r="132" spans="1:5" ht="15">
      <c r="A132" s="428" t="s">
        <v>425</v>
      </c>
      <c r="B132" s="428" t="s">
        <v>426</v>
      </c>
      <c r="C132" s="428">
        <v>186234157.02</v>
      </c>
      <c r="D132" s="428">
        <v>0</v>
      </c>
      <c r="E132" s="428">
        <v>186234157.02</v>
      </c>
    </row>
    <row r="133" spans="1:5" ht="15">
      <c r="A133" s="428" t="s">
        <v>427</v>
      </c>
      <c r="B133" s="428" t="s">
        <v>428</v>
      </c>
      <c r="C133" s="428">
        <v>2831000</v>
      </c>
      <c r="D133" s="428">
        <v>0</v>
      </c>
      <c r="E133" s="428">
        <v>2831000</v>
      </c>
    </row>
    <row r="134" spans="1:5" ht="15">
      <c r="A134" s="428" t="s">
        <v>429</v>
      </c>
      <c r="B134" s="428" t="s">
        <v>430</v>
      </c>
      <c r="C134" s="428">
        <v>787389000</v>
      </c>
      <c r="D134" s="428">
        <v>305079000</v>
      </c>
      <c r="E134" s="428">
        <v>482310000</v>
      </c>
    </row>
    <row r="135" spans="1:5" ht="15">
      <c r="A135" s="428" t="s">
        <v>431</v>
      </c>
      <c r="B135" s="428" t="s">
        <v>432</v>
      </c>
      <c r="C135" s="428">
        <v>64983000</v>
      </c>
      <c r="D135" s="428">
        <v>0</v>
      </c>
      <c r="E135" s="428">
        <v>64983000</v>
      </c>
    </row>
    <row r="136" spans="1:5" ht="15">
      <c r="A136" s="428" t="s">
        <v>433</v>
      </c>
      <c r="B136" s="428" t="s">
        <v>434</v>
      </c>
      <c r="C136" s="428">
        <v>3820000</v>
      </c>
      <c r="D136" s="428">
        <v>0</v>
      </c>
      <c r="E136" s="428">
        <v>3820000</v>
      </c>
    </row>
    <row r="137" spans="1:5" ht="15">
      <c r="A137" s="428" t="s">
        <v>373</v>
      </c>
      <c r="B137" s="428" t="s">
        <v>374</v>
      </c>
      <c r="C137" s="428">
        <v>2518859.81</v>
      </c>
      <c r="D137" s="428">
        <v>0</v>
      </c>
      <c r="E137" s="428">
        <v>2518859.81</v>
      </c>
    </row>
    <row r="138" spans="1:5" ht="15">
      <c r="A138" s="428" t="s">
        <v>435</v>
      </c>
      <c r="B138" s="428" t="s">
        <v>436</v>
      </c>
      <c r="C138" s="428">
        <v>2060000</v>
      </c>
      <c r="D138" s="428">
        <v>0</v>
      </c>
      <c r="E138" s="428">
        <v>2060000</v>
      </c>
    </row>
    <row r="139" spans="1:5" ht="15">
      <c r="A139" s="428" t="s">
        <v>437</v>
      </c>
      <c r="B139" s="428" t="s">
        <v>438</v>
      </c>
      <c r="C139" s="428">
        <v>19436000</v>
      </c>
      <c r="D139" s="428">
        <v>992000</v>
      </c>
      <c r="E139" s="428">
        <v>18444000</v>
      </c>
    </row>
    <row r="140" spans="1:5" ht="15">
      <c r="A140" s="428" t="s">
        <v>439</v>
      </c>
      <c r="B140" s="428" t="s">
        <v>440</v>
      </c>
      <c r="C140" s="428">
        <v>17199000</v>
      </c>
      <c r="D140" s="428">
        <v>0</v>
      </c>
      <c r="E140" s="428">
        <v>17199000</v>
      </c>
    </row>
    <row r="141" spans="1:5" ht="15">
      <c r="A141" s="428" t="s">
        <v>1133</v>
      </c>
      <c r="B141" s="428" t="s">
        <v>1134</v>
      </c>
      <c r="C141" s="428">
        <v>31026000</v>
      </c>
      <c r="D141" s="428">
        <v>0</v>
      </c>
      <c r="E141" s="428">
        <v>31026000</v>
      </c>
    </row>
    <row r="142" spans="1:5" ht="15">
      <c r="A142" s="428" t="s">
        <v>422</v>
      </c>
      <c r="B142" s="428" t="s">
        <v>423</v>
      </c>
      <c r="C142" s="428">
        <v>12255019400</v>
      </c>
      <c r="D142" s="428">
        <v>660000000</v>
      </c>
      <c r="E142" s="428">
        <v>11595019400</v>
      </c>
    </row>
    <row r="143" spans="1:5" ht="15">
      <c r="A143" s="428" t="s">
        <v>516</v>
      </c>
      <c r="B143" s="428" t="s">
        <v>517</v>
      </c>
      <c r="C143" s="428">
        <v>13445000</v>
      </c>
      <c r="D143" s="428">
        <v>0</v>
      </c>
      <c r="E143" s="428">
        <v>13445000</v>
      </c>
    </row>
    <row r="144" spans="1:5" ht="15">
      <c r="A144" s="428" t="s">
        <v>518</v>
      </c>
      <c r="B144" s="428" t="s">
        <v>519</v>
      </c>
      <c r="C144" s="428">
        <v>335242000</v>
      </c>
      <c r="D144" s="428">
        <v>0</v>
      </c>
      <c r="E144" s="428">
        <v>335242000</v>
      </c>
    </row>
    <row r="145" spans="1:5" ht="15">
      <c r="A145" s="428" t="s">
        <v>520</v>
      </c>
      <c r="B145" s="428" t="s">
        <v>521</v>
      </c>
      <c r="C145" s="428">
        <v>502000</v>
      </c>
      <c r="D145" s="428">
        <v>0</v>
      </c>
      <c r="E145" s="428">
        <v>502000</v>
      </c>
    </row>
    <row r="146" spans="1:5" ht="15">
      <c r="A146" s="428" t="s">
        <v>522</v>
      </c>
      <c r="B146" s="428" t="s">
        <v>523</v>
      </c>
      <c r="C146" s="428">
        <v>7006000</v>
      </c>
      <c r="D146" s="428">
        <v>6564000</v>
      </c>
      <c r="E146" s="428">
        <v>442000</v>
      </c>
    </row>
    <row r="147" spans="1:5" ht="15">
      <c r="A147" s="428" t="s">
        <v>524</v>
      </c>
      <c r="B147" s="428" t="s">
        <v>525</v>
      </c>
      <c r="C147" s="428">
        <v>1188668000</v>
      </c>
      <c r="D147" s="428">
        <v>431766000</v>
      </c>
      <c r="E147" s="428">
        <v>756902000</v>
      </c>
    </row>
    <row r="148" spans="1:5" ht="15">
      <c r="A148" s="428" t="s">
        <v>526</v>
      </c>
      <c r="B148" s="428" t="s">
        <v>527</v>
      </c>
      <c r="C148" s="428">
        <v>63405000</v>
      </c>
      <c r="D148" s="428">
        <v>0</v>
      </c>
      <c r="E148" s="428">
        <v>63405000</v>
      </c>
    </row>
    <row r="149" spans="1:5" ht="15">
      <c r="A149" s="428" t="s">
        <v>454</v>
      </c>
      <c r="B149" s="428" t="s">
        <v>455</v>
      </c>
      <c r="C149" s="428">
        <v>551764000</v>
      </c>
      <c r="D149" s="428">
        <v>0</v>
      </c>
      <c r="E149" s="428">
        <v>551764000</v>
      </c>
    </row>
    <row r="150" spans="1:5" ht="15">
      <c r="A150" s="428" t="s">
        <v>456</v>
      </c>
      <c r="B150" s="428" t="s">
        <v>457</v>
      </c>
      <c r="C150" s="428">
        <v>7727000</v>
      </c>
      <c r="D150" s="428">
        <v>0</v>
      </c>
      <c r="E150" s="428">
        <v>7727000</v>
      </c>
    </row>
    <row r="151" spans="1:5" ht="15">
      <c r="A151" s="428" t="s">
        <v>458</v>
      </c>
      <c r="B151" s="428" t="s">
        <v>459</v>
      </c>
      <c r="C151" s="428">
        <v>151280000</v>
      </c>
      <c r="D151" s="428">
        <v>0</v>
      </c>
      <c r="E151" s="428">
        <v>151280000</v>
      </c>
    </row>
    <row r="152" spans="1:5" ht="15">
      <c r="A152" s="428" t="s">
        <v>460</v>
      </c>
      <c r="B152" s="428" t="s">
        <v>461</v>
      </c>
      <c r="C152" s="428">
        <v>30826411.69</v>
      </c>
      <c r="D152" s="428">
        <v>0</v>
      </c>
      <c r="E152" s="428">
        <v>30826411.69</v>
      </c>
    </row>
    <row r="153" spans="1:5" ht="15">
      <c r="A153" s="428" t="s">
        <v>462</v>
      </c>
      <c r="B153" s="428" t="s">
        <v>463</v>
      </c>
      <c r="C153" s="428">
        <v>34530523.25</v>
      </c>
      <c r="D153" s="428">
        <v>0</v>
      </c>
      <c r="E153" s="428">
        <v>34530523.25</v>
      </c>
    </row>
    <row r="154" spans="1:5" ht="15">
      <c r="A154" s="428" t="s">
        <v>965</v>
      </c>
      <c r="B154" s="428" t="s">
        <v>966</v>
      </c>
      <c r="C154" s="428">
        <v>65677000</v>
      </c>
      <c r="D154" s="428">
        <v>0</v>
      </c>
      <c r="E154" s="428">
        <v>65677000</v>
      </c>
    </row>
    <row r="155" spans="1:5" ht="15">
      <c r="A155" s="428" t="s">
        <v>967</v>
      </c>
      <c r="B155" s="428" t="s">
        <v>968</v>
      </c>
      <c r="C155" s="428">
        <v>52921956000</v>
      </c>
      <c r="D155" s="428">
        <v>20238291000</v>
      </c>
      <c r="E155" s="428">
        <v>32683665000</v>
      </c>
    </row>
    <row r="156" spans="1:5" ht="15">
      <c r="A156" s="428" t="s">
        <v>969</v>
      </c>
      <c r="B156" s="428" t="s">
        <v>970</v>
      </c>
      <c r="C156" s="428">
        <v>1342004000</v>
      </c>
      <c r="D156" s="428">
        <v>0</v>
      </c>
      <c r="E156" s="428">
        <v>1342004000</v>
      </c>
    </row>
    <row r="157" spans="1:5" ht="15">
      <c r="A157" s="428" t="s">
        <v>971</v>
      </c>
      <c r="B157" s="428" t="s">
        <v>972</v>
      </c>
      <c r="C157" s="428">
        <v>102370000</v>
      </c>
      <c r="D157" s="428">
        <v>49473000</v>
      </c>
      <c r="E157" s="428">
        <v>52897000</v>
      </c>
    </row>
    <row r="158" spans="1:5" ht="15">
      <c r="A158" s="428" t="s">
        <v>973</v>
      </c>
      <c r="B158" s="428" t="s">
        <v>974</v>
      </c>
      <c r="C158" s="428">
        <v>7128100</v>
      </c>
      <c r="D158" s="428">
        <v>0</v>
      </c>
      <c r="E158" s="428">
        <v>7128100</v>
      </c>
    </row>
    <row r="159" spans="1:5" ht="15">
      <c r="A159" s="428" t="s">
        <v>975</v>
      </c>
      <c r="B159" s="428" t="s">
        <v>976</v>
      </c>
      <c r="C159" s="428">
        <v>236784000</v>
      </c>
      <c r="D159" s="428">
        <v>0</v>
      </c>
      <c r="E159" s="428">
        <v>236784000</v>
      </c>
    </row>
    <row r="160" spans="1:5" ht="15">
      <c r="A160" s="428" t="s">
        <v>268</v>
      </c>
      <c r="B160" s="428" t="s">
        <v>269</v>
      </c>
      <c r="C160" s="428">
        <v>3800225000</v>
      </c>
      <c r="D160" s="428">
        <v>0</v>
      </c>
      <c r="E160" s="428">
        <v>3800225000</v>
      </c>
    </row>
    <row r="161" spans="1:5" ht="15">
      <c r="A161" s="428" t="s">
        <v>270</v>
      </c>
      <c r="B161" s="428" t="s">
        <v>271</v>
      </c>
      <c r="C161" s="428">
        <v>135621000</v>
      </c>
      <c r="D161" s="428">
        <v>0</v>
      </c>
      <c r="E161" s="428">
        <v>135621000</v>
      </c>
    </row>
    <row r="162" spans="1:5" ht="15">
      <c r="A162" s="428" t="s">
        <v>272</v>
      </c>
      <c r="B162" s="428" t="s">
        <v>273</v>
      </c>
      <c r="C162" s="428">
        <v>1937273000</v>
      </c>
      <c r="D162" s="428">
        <v>0</v>
      </c>
      <c r="E162" s="428">
        <v>1937273000</v>
      </c>
    </row>
    <row r="163" spans="1:5" ht="15">
      <c r="A163" s="428" t="s">
        <v>274</v>
      </c>
      <c r="B163" s="428" t="s">
        <v>275</v>
      </c>
      <c r="C163" s="428">
        <v>820837000</v>
      </c>
      <c r="D163" s="428">
        <v>367372000</v>
      </c>
      <c r="E163" s="428">
        <v>453465000</v>
      </c>
    </row>
    <row r="164" spans="1:5" ht="15">
      <c r="A164" s="428" t="s">
        <v>276</v>
      </c>
      <c r="B164" s="428" t="s">
        <v>277</v>
      </c>
      <c r="C164" s="428">
        <v>3056082000</v>
      </c>
      <c r="D164" s="428">
        <v>1186670000</v>
      </c>
      <c r="E164" s="428">
        <v>1869412000</v>
      </c>
    </row>
    <row r="165" spans="1:5" ht="15">
      <c r="A165" s="428" t="s">
        <v>278</v>
      </c>
      <c r="B165" s="428" t="s">
        <v>279</v>
      </c>
      <c r="C165" s="428">
        <v>248000</v>
      </c>
      <c r="D165" s="428">
        <v>0</v>
      </c>
      <c r="E165" s="428">
        <v>248000</v>
      </c>
    </row>
    <row r="166" spans="1:5" ht="15">
      <c r="A166" s="428" t="s">
        <v>280</v>
      </c>
      <c r="B166" s="428" t="s">
        <v>281</v>
      </c>
      <c r="C166" s="428">
        <v>789751726.29</v>
      </c>
      <c r="D166" s="428">
        <v>0</v>
      </c>
      <c r="E166" s="428">
        <v>789751726.29</v>
      </c>
    </row>
    <row r="167" spans="1:5" ht="15">
      <c r="A167" s="428" t="s">
        <v>282</v>
      </c>
      <c r="B167" s="428" t="s">
        <v>283</v>
      </c>
      <c r="C167" s="428">
        <v>36250000</v>
      </c>
      <c r="D167" s="428">
        <v>0</v>
      </c>
      <c r="E167" s="428">
        <v>36250000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tmagers</cp:lastModifiedBy>
  <cp:lastPrinted>2004-04-06T13:43:41Z</cp:lastPrinted>
  <dcterms:created xsi:type="dcterms:W3CDTF">1998-12-22T15:47:59Z</dcterms:created>
  <dcterms:modified xsi:type="dcterms:W3CDTF">2004-04-06T13:57:46Z</dcterms:modified>
  <cp:category/>
  <cp:version/>
  <cp:contentType/>
  <cp:contentStatus/>
</cp:coreProperties>
</file>