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</sheets>
  <definedNames>
    <definedName name="_Key1" localSheetId="1" hidden="1">'Marketable'!#REF!</definedName>
    <definedName name="_Order1" localSheetId="5" hidden="1">255</definedName>
    <definedName name="_Order1" localSheetId="3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localSheetId="1" hidden="1">'Marketable'!#REF!</definedName>
    <definedName name="ACwvu.page10." localSheetId="4" hidden="1">'TableIV'!$1:$12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5">'Footnotes'!$A$1:$M$76</definedName>
    <definedName name="_xlnm.Print_Area" localSheetId="3">'GAS'!$A$1:$M$305</definedName>
    <definedName name="_xlnm.Print_Area" localSheetId="1">'Marketable'!$A$1:$P$340</definedName>
    <definedName name="_xlnm.Print_Area" localSheetId="2">'Nonmarketable'!$A$1:$P$79</definedName>
    <definedName name="_xlnm.Print_Area" localSheetId="4">'TableIV'!$A$1:$J$182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localSheetId="4" hidden="1">'TableIV'!$1:$12</definedName>
    <definedName name="TOTALROW1">#REF!</definedName>
    <definedName name="TOTALROW3">#REF!</definedName>
    <definedName name="TOTALS_GDEBT">'TableIV'!$K$6:$K$11</definedName>
    <definedName name="TOTALS_MSPD2">'GAS'!$H$71:$I$305</definedName>
    <definedName name="TOTALS_MSPD2A">'GAS'!$I$254:$L$305</definedName>
    <definedName name="TOTALS_PAGE2">'Marketable'!$K$8:$P$204</definedName>
    <definedName name="wrn.mspd." hidden="1">{#N/A,#N/A,FALSE,"Summary";#N/A,#N/A,FALSE,"Marketable";#N/A,#N/A,FALSE,"Nonmarketable";#N/A,#N/A,FALSE,"GAS";#N/A,#N/A,FALSE,"TableIV";#N/A,#N/A,FALSE,"Footnotes"}</definedName>
    <definedName name="wvu.page10." localSheetId="4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5" hidden="1">'Footnotes'!$A$1:$M$72</definedName>
    <definedName name="Z_299E6BA2_5C55_11D3_95FC_00C04F98DD55_.wvu.PrintArea" localSheetId="3" hidden="1">'GAS'!$A$1:$M$305</definedName>
    <definedName name="Z_299E6BA2_5C55_11D3_95FC_00C04F98DD55_.wvu.PrintArea" localSheetId="1" hidden="1">'Marketable'!$A$1:$P$340</definedName>
    <definedName name="Z_299E6BA2_5C55_11D3_95FC_00C04F98DD55_.wvu.PrintArea" localSheetId="4" hidden="1">'TableIV'!$A$1:$J$183</definedName>
    <definedName name="Z_299E6BA2_5C55_11D3_95FC_00C04F98DD55_.wvu.Rows" localSheetId="3" hidden="1">'GAS'!#REF!</definedName>
    <definedName name="Z_299E6BA2_5C55_11D3_95FC_00C04F98DD55_.wvu.Rows" localSheetId="1" hidden="1">'Marketable'!$177:$177</definedName>
    <definedName name="Z_F8F97401_998A_11D2_AE2A_00C04F98DCD3_.wvu.PrintArea" localSheetId="4" hidden="1">'TableIV'!$A$1:$J$177</definedName>
    <definedName name="Z_FDA6B625_998F_11D2_AE2A_00C04F98DCD3_.wvu.PrintArea" localSheetId="4" hidden="1">'TableIV'!$A$1:$J$177</definedName>
  </definedNames>
  <calcPr fullCalcOnLoad="1"/>
</workbook>
</file>

<file path=xl/sharedStrings.xml><?xml version="1.0" encoding="utf-8"?>
<sst xmlns="http://schemas.openxmlformats.org/spreadsheetml/2006/main" count="2085" uniqueCount="899">
  <si>
    <t>Iranian Claims Settlement Fund, Treasury Department....................................................................................................................................</t>
  </si>
  <si>
    <t>Federal Old-Age and Survivors Insurance Trust Fund.................................................................................................…</t>
  </si>
  <si>
    <t>FHA - Liquidating Account, Housing and Urban Development...........................................................................................................…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</si>
  <si>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</si>
  <si>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National Credit Union Share Insurance Fund..................................................................................................................................................…</t>
  </si>
  <si>
    <t>United States Enrichment Corporation Fund......................................................................................................................................…</t>
  </si>
  <si>
    <t>National Institutes of Health Unconditional Gift Fund...............................................................................................…</t>
  </si>
  <si>
    <t>JX0</t>
  </si>
  <si>
    <t>MARCH 31, 2002</t>
  </si>
  <si>
    <t>TABLE I -- SUMMARY OF TREASURY SECURITIES OUTSTANDING, MARCH 31, 2002</t>
  </si>
  <si>
    <t>TABLE II -- STATUTORY DEBT LIMIT, MARCH 31, 2002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</si>
  <si>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MARCH 31, 2002</t>
    </r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</si>
  <si>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MARCH 31, 2002 -- Continued</t>
    </r>
  </si>
  <si>
    <t>912795  JN2</t>
  </si>
  <si>
    <t xml:space="preserve"> 912827  2S0</t>
  </si>
  <si>
    <t xml:space="preserve">Deposits, Outer Continental Shelf Lands Act, Bonus Bids, </t>
  </si>
  <si>
    <t>TABLE IV - HISTORICAL DATA, MARCH 31, 2002</t>
  </si>
  <si>
    <t>TABLE V - HOLDINGS OF TREASURY SECURITIES IN STRIPPED FORM, MARCH 31, 2002</t>
  </si>
  <si>
    <t>TABLE V - HOLDINGS OF TREASURY SECURITIES IN STRIPPED FORM, MARCH 31, 2002 -- Continued</t>
  </si>
  <si>
    <t>MONTHLY STATEMENT OF THE PUBLIC DEBT OF THE UNITED STATES MARCH 31, 2002 - FOOTNOTES</t>
  </si>
  <si>
    <t>National Security Education Trust Fund..................................................................................................................…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</si>
  <si>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</si>
  <si>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</si>
  <si>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</si>
  <si>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Social Security Equivalent Benefit Account, Railroad Retirement Board..........................................................................................…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</si>
  <si>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</si>
  <si>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</si>
  <si>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>John C. Stennis Center for Public Service Training and Development.................................................................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</si>
  <si>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</si>
  <si>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</si>
  <si>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Judicial Survivors Annuities Fund................................................................................................................................</t>
  </si>
  <si>
    <t>Kennedy Center Revenue Bond Sinking Fund............................................................................................................</t>
  </si>
  <si>
    <t>Leaking Underground Storage Tank Trust Fund..................................................................................................................</t>
  </si>
  <si>
    <t>Library of Congress Trust Fund.......................................................................................................................................</t>
  </si>
  <si>
    <t>7B2</t>
  </si>
  <si>
    <t>GL5</t>
  </si>
  <si>
    <t>7C0</t>
  </si>
  <si>
    <t>Morris K. Udall Scholarship and Excellence in National Environmental</t>
  </si>
  <si>
    <t>Natural Resource Damage Assessment and Restoration Fund, U.S. Fish</t>
  </si>
  <si>
    <t>Aviation Insurance Revolving Fund..................................................................................................................................…</t>
  </si>
  <si>
    <t>KQ3</t>
  </si>
  <si>
    <t>KR1</t>
  </si>
  <si>
    <t>KS9</t>
  </si>
  <si>
    <t>KT7</t>
  </si>
  <si>
    <t>7K2</t>
  </si>
  <si>
    <t>07/31-01/31</t>
  </si>
  <si>
    <t>7J5</t>
  </si>
  <si>
    <t>Bills 07/11/02............................................................</t>
  </si>
  <si>
    <t>Mar 31, 2002</t>
  </si>
  <si>
    <t>Mar 31, 2001</t>
  </si>
  <si>
    <t>912820 FN2</t>
  </si>
  <si>
    <t>Bills 05/01/02............................................................</t>
  </si>
  <si>
    <t>Bills 07/01/02............................................................</t>
  </si>
  <si>
    <t>Bills 04/01/02............................................................</t>
  </si>
  <si>
    <t>Bills 05/16/02............................................................</t>
  </si>
  <si>
    <t>Bills 06/06/02............................................................</t>
  </si>
  <si>
    <t>Bills 07/05/02............................................................</t>
  </si>
  <si>
    <t>GU5</t>
  </si>
  <si>
    <t>GT8</t>
  </si>
  <si>
    <t>Nuclear Waste Disposal Fund, Department of Energy..............................................................................................................................</t>
  </si>
  <si>
    <t>Oil Spill Liability Trust Fund.............................................................................................................................................</t>
  </si>
  <si>
    <t>6X5</t>
  </si>
  <si>
    <t>Oliver Wendell Holmes Devise Fund, Library of Congress.........................................................................................</t>
  </si>
  <si>
    <t>Operating Fund, National Credit Union Administration.........................................................................................</t>
  </si>
  <si>
    <t>Overseas Private Investment Corporation, Insurance and Equity Non Credit</t>
  </si>
  <si>
    <t>Panama Canal Commission Compensation Fund......................................................................................................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</si>
  <si>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</si>
  <si>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7A4</t>
  </si>
  <si>
    <t>GK7</t>
  </si>
  <si>
    <t>GJ0</t>
  </si>
  <si>
    <t>6Z0</t>
  </si>
  <si>
    <t>basis (360 days a year) as indicated.  Effective November 10, 1997,  three decimal bidding, in .005 percent increments, is required for regular Treasury Bill</t>
  </si>
  <si>
    <t>Pension Benefit Guaranty Corporation..........................................................................................................................</t>
  </si>
  <si>
    <t>6U1</t>
  </si>
  <si>
    <t>GD3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</si>
  <si>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</si>
  <si>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</si>
  <si>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</si>
  <si>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t>Saving Association Insurance Fund, The..................................................................................................................</t>
  </si>
  <si>
    <t>Science, Space and Technology Education Trust Fund, National Aeronautics</t>
  </si>
  <si>
    <t>ET0</t>
  </si>
  <si>
    <t>Servicemen's Group Life Insurance Fund................................................................................................................................</t>
  </si>
  <si>
    <t>EE3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</si>
  <si>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</si>
  <si>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</si>
  <si>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</si>
  <si>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>Tax Court Judges Survivors Annuity Fund.............................................................................................................................</t>
  </si>
  <si>
    <t>Perishable Agricultural Commodities Act, Agricultural Marketing Service..........................................................................................................................</t>
  </si>
  <si>
    <t>Treasury Forfeiture Fund.................................................................................................................................................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</si>
  <si>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</si>
  <si>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</si>
  <si>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 xml:space="preserve">     Office of Personnel Management.................................................................................................................................................................…</t>
  </si>
  <si>
    <t>United States Trustee System Fund, Justice..........................................................................................................................</t>
  </si>
  <si>
    <t>KX8</t>
  </si>
  <si>
    <t>KY6</t>
  </si>
  <si>
    <t>KW0</t>
  </si>
  <si>
    <t>KV2</t>
  </si>
  <si>
    <t xml:space="preserve"> 7M8</t>
  </si>
  <si>
    <t>7M8</t>
  </si>
  <si>
    <t>GW1</t>
  </si>
  <si>
    <t>7L0</t>
  </si>
  <si>
    <t>4-7/8</t>
  </si>
  <si>
    <t>GV3</t>
  </si>
  <si>
    <t>Uranium Enrichment and Decommissioning Fund, Department of Energy.........................................................................................................</t>
  </si>
  <si>
    <t>4-5/8</t>
  </si>
  <si>
    <t>Utah Reclamation Mitigation and Conservation Account, Interior........................................................................................................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</si>
  <si>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</si>
  <si>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</si>
  <si>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Vaccine Injury Compensation Trust Fund....................................................................................................................</t>
  </si>
  <si>
    <t>Veterans Reopened Insurance Fund...........................................................................................................................</t>
  </si>
  <si>
    <t>Veterans Special Life Insurance Fund, Trust Revolving Fund, Department of</t>
  </si>
  <si>
    <t>LA7</t>
  </si>
  <si>
    <t>912827  4B5</t>
  </si>
  <si>
    <t>912810   FF0</t>
  </si>
  <si>
    <t xml:space="preserve">  FA1</t>
  </si>
  <si>
    <t>Bills 08/29/02............................................................</t>
  </si>
  <si>
    <t xml:space="preserve">Includes $14,301 of 6 5/8% Treasury Notes Series E-2002,  $17,238 million of 6 1/2% Treasury Notes Series T-2002 and  $14,345 million of </t>
  </si>
  <si>
    <t>Total Marketable consists of short-term debt (1 year and less) of $834,409 million, long-term debt (greater than 1 year) of $2,168,924 million and</t>
  </si>
  <si>
    <t>matured debt of $31,692 million.</t>
  </si>
  <si>
    <t>matured debt of $8,362 million.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</si>
  <si>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</si>
  <si>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</si>
  <si>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</si>
  <si>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CG6</t>
  </si>
  <si>
    <t>DZ7</t>
  </si>
  <si>
    <t>EA1</t>
  </si>
  <si>
    <t>GE1</t>
  </si>
  <si>
    <t>GF8</t>
  </si>
  <si>
    <t>6T4</t>
  </si>
  <si>
    <t>FP8</t>
  </si>
  <si>
    <t>7G1</t>
  </si>
  <si>
    <t>3</t>
  </si>
  <si>
    <t>GR2</t>
  </si>
  <si>
    <t>National and Federal Reserve Bank Notes assumed by the United States on deposit of lawful money for their retirement ...........................................................................................</t>
  </si>
  <si>
    <t>6C1</t>
  </si>
  <si>
    <t>2W1</t>
  </si>
  <si>
    <t>6E7</t>
  </si>
  <si>
    <t>2Y7</t>
  </si>
  <si>
    <t>6F4</t>
  </si>
  <si>
    <t>G55</t>
  </si>
  <si>
    <t>3G5</t>
  </si>
  <si>
    <t xml:space="preserve"> 3J9</t>
  </si>
  <si>
    <t xml:space="preserve"> 3L4</t>
  </si>
  <si>
    <t xml:space="preserve"> 6P2</t>
  </si>
  <si>
    <t xml:space="preserve"> 3V2</t>
  </si>
  <si>
    <t>J78</t>
  </si>
  <si>
    <t xml:space="preserve"> 3Z3</t>
  </si>
  <si>
    <t>4B5</t>
  </si>
  <si>
    <t>4D1</t>
  </si>
  <si>
    <t>4H2</t>
  </si>
  <si>
    <t>4K5</t>
  </si>
  <si>
    <t>L83</t>
  </si>
  <si>
    <t xml:space="preserve"> 4N9</t>
  </si>
  <si>
    <t>4U3</t>
  </si>
  <si>
    <t>N81</t>
  </si>
  <si>
    <t xml:space="preserve"> 5A6</t>
  </si>
  <si>
    <t>P89</t>
  </si>
  <si>
    <t>5F5</t>
  </si>
  <si>
    <t>Q88</t>
  </si>
  <si>
    <t>5M0</t>
  </si>
  <si>
    <t>R87</t>
  </si>
  <si>
    <t>5S7</t>
  </si>
  <si>
    <t>S86</t>
  </si>
  <si>
    <t>T85</t>
  </si>
  <si>
    <t>6D9</t>
  </si>
  <si>
    <t>U83</t>
  </si>
  <si>
    <t>V82</t>
  </si>
  <si>
    <t>6N7</t>
  </si>
  <si>
    <t>W81</t>
  </si>
  <si>
    <t>X80</t>
  </si>
  <si>
    <t>Y55</t>
  </si>
  <si>
    <t>Z62</t>
  </si>
  <si>
    <t>2J0</t>
  </si>
  <si>
    <t>2U5</t>
  </si>
  <si>
    <t>3E0</t>
  </si>
  <si>
    <t>3X8</t>
  </si>
  <si>
    <t>4F6</t>
  </si>
  <si>
    <t>4V1</t>
  </si>
  <si>
    <t>5G3</t>
  </si>
  <si>
    <t>5N8</t>
  </si>
  <si>
    <t>5Z1</t>
  </si>
  <si>
    <t>6J6</t>
  </si>
  <si>
    <t>F49</t>
  </si>
  <si>
    <t>DA3</t>
  </si>
  <si>
    <t>DC9</t>
  </si>
  <si>
    <t>DD7</t>
  </si>
  <si>
    <t>CC0</t>
  </si>
  <si>
    <t>DE5</t>
  </si>
  <si>
    <t xml:space="preserve"> CE6</t>
  </si>
  <si>
    <t>DG0</t>
  </si>
  <si>
    <t>CG1</t>
  </si>
  <si>
    <t>DH8</t>
  </si>
  <si>
    <t>DK1</t>
  </si>
  <si>
    <t>CK2</t>
  </si>
  <si>
    <t>DM7</t>
  </si>
  <si>
    <t>CM8</t>
  </si>
  <si>
    <t>CP1</t>
  </si>
  <si>
    <t>DQ8</t>
  </si>
  <si>
    <t>DR6</t>
  </si>
  <si>
    <t>CS5</t>
  </si>
  <si>
    <t xml:space="preserve">  DU9</t>
  </si>
  <si>
    <t xml:space="preserve">  CV8</t>
  </si>
  <si>
    <t xml:space="preserve"> CY2</t>
  </si>
  <si>
    <t xml:space="preserve"> DB1</t>
  </si>
  <si>
    <t xml:space="preserve"> DF2</t>
  </si>
  <si>
    <t xml:space="preserve"> DJ4</t>
  </si>
  <si>
    <t xml:space="preserve"> DL9</t>
  </si>
  <si>
    <t xml:space="preserve"> DN5</t>
  </si>
  <si>
    <t xml:space="preserve"> DP0</t>
  </si>
  <si>
    <t>DS4</t>
  </si>
  <si>
    <t>DT2</t>
  </si>
  <si>
    <t>DV7</t>
  </si>
  <si>
    <t>DW5</t>
  </si>
  <si>
    <t xml:space="preserve"> DX3</t>
  </si>
  <si>
    <t>DY1</t>
  </si>
  <si>
    <t>DZ8</t>
  </si>
  <si>
    <t xml:space="preserve"> EA2</t>
  </si>
  <si>
    <t>EB0</t>
  </si>
  <si>
    <t>EC8</t>
  </si>
  <si>
    <t>ED6</t>
  </si>
  <si>
    <t>EE4</t>
  </si>
  <si>
    <t>EF1</t>
  </si>
  <si>
    <t>EG9</t>
  </si>
  <si>
    <t>EH7</t>
  </si>
  <si>
    <t xml:space="preserve"> EJ3</t>
  </si>
  <si>
    <t>EK0</t>
  </si>
  <si>
    <t>EL8</t>
  </si>
  <si>
    <t>EM6</t>
  </si>
  <si>
    <t>EN4</t>
  </si>
  <si>
    <t xml:space="preserve"> EP9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</si>
  <si>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</si>
  <si>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</si>
  <si>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</si>
  <si>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</si>
  <si>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</si>
  <si>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</si>
  <si>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</si>
  <si>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</si>
  <si>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</si>
  <si>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</si>
  <si>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</si>
  <si>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</si>
  <si>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</si>
  <si>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</si>
  <si>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912827 3A8</t>
  </si>
  <si>
    <t>2M3</t>
  </si>
  <si>
    <t>3T7</t>
  </si>
  <si>
    <t>4Y5</t>
  </si>
  <si>
    <t>5W8</t>
  </si>
  <si>
    <t>912810 FD5</t>
  </si>
  <si>
    <t>FH6</t>
  </si>
  <si>
    <t xml:space="preserve">* 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</si>
  <si>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</si>
  <si>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</si>
  <si>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</si>
  <si>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</si>
  <si>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</si>
  <si>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</si>
  <si>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</si>
  <si>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</si>
  <si>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</si>
  <si>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FP7</t>
  </si>
  <si>
    <t>FQ5</t>
  </si>
  <si>
    <t>3C4</t>
  </si>
  <si>
    <t>FR3</t>
  </si>
  <si>
    <t>6H0</t>
  </si>
  <si>
    <t>FS1</t>
  </si>
  <si>
    <t>6K3</t>
  </si>
  <si>
    <t>3J9</t>
  </si>
  <si>
    <t>6L1</t>
  </si>
  <si>
    <t>FV4</t>
  </si>
  <si>
    <t>3L4</t>
  </si>
  <si>
    <t>3Q3</t>
  </si>
  <si>
    <t>6P2</t>
  </si>
  <si>
    <t>FY8</t>
  </si>
  <si>
    <t>3S9</t>
  </si>
  <si>
    <t>3V2</t>
  </si>
  <si>
    <t>3Z3</t>
  </si>
  <si>
    <t>4N9</t>
  </si>
  <si>
    <t>5A6</t>
  </si>
  <si>
    <t>FX0</t>
  </si>
  <si>
    <t>CK7</t>
  </si>
  <si>
    <t xml:space="preserve">   Housing and Urban Development............................................................................................................................................................…</t>
  </si>
  <si>
    <t>7H9</t>
  </si>
  <si>
    <t>3-1/4</t>
  </si>
  <si>
    <t>GS0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</si>
  <si>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</si>
  <si>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</si>
  <si>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t>Inflation-Indexed Notes..................................................................................…</t>
  </si>
  <si>
    <t>Inflation-Indexed Bonds..................................................................................…</t>
  </si>
  <si>
    <r>
      <t xml:space="preserve">Federal Financing Bank 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</si>
  <si>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</si>
  <si>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Domestic Series..................................................................................…</t>
  </si>
  <si>
    <t>Foreign Series..................................................................................…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</si>
  <si>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</si>
  <si>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</si>
  <si>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</si>
  <si>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Assessment Funds, Office of the Comptroller of the Currency...........................................................………….......................</t>
  </si>
  <si>
    <t>Armed Forces Retirement Home Trust Fund..……………..……...............................................................................</t>
  </si>
  <si>
    <t>United States Savings Securities..................................................................................…</t>
  </si>
  <si>
    <t>Government Account Series..................................................................................…</t>
  </si>
  <si>
    <t>GM3</t>
  </si>
  <si>
    <t>Other..................................................................................…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</si>
  <si>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</si>
  <si>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Total Public Debt Outstanding..................................................................................…</t>
  </si>
  <si>
    <t>Public Debt Outstanding..................................................................................…</t>
  </si>
  <si>
    <t>Other Debt Not Subject to Limit..................................................................................…</t>
  </si>
  <si>
    <t>Federal Financing Bank..................................................................................…</t>
  </si>
  <si>
    <t>Total Public Debt Subject to Limit..................................................................................…</t>
  </si>
  <si>
    <t>Fiscal Year 2002 to Date</t>
  </si>
  <si>
    <t>Fiscal Year 2001</t>
  </si>
  <si>
    <t xml:space="preserve">Deposits of Proceeds of Lands Withdrawn for Native Selection, 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</si>
  <si>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</si>
  <si>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</si>
  <si>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r>
      <t xml:space="preserve">Statutory Debt Limit  </t>
    </r>
    <r>
      <rPr>
        <vertAlign val="superscript"/>
        <sz val="14"/>
        <rFont val="Arial"/>
        <family val="2"/>
      </rPr>
      <t>5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</t>
    </r>
  </si>
  <si>
    <t>Balance of Statutory Debt Limit.......................................................................................................................................................................…</t>
  </si>
  <si>
    <t>Less than $500 thousand.</t>
  </si>
  <si>
    <t>FU6</t>
  </si>
  <si>
    <t>EM5</t>
  </si>
  <si>
    <t>CH4</t>
  </si>
  <si>
    <t>ER4</t>
  </si>
  <si>
    <t>EQ6</t>
  </si>
  <si>
    <t>Subject to the Statutory Debt Limit:</t>
  </si>
  <si>
    <t>total</t>
  </si>
  <si>
    <t>3-7/8</t>
  </si>
  <si>
    <t>DN4</t>
  </si>
  <si>
    <t>Corpus</t>
  </si>
  <si>
    <t>STRIP</t>
  </si>
  <si>
    <t>Maturity Date</t>
  </si>
  <si>
    <t>Reconstituted</t>
  </si>
  <si>
    <t>Individual Indian Money, Bureau of Indian Affairs.....................................................................................................................................…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</si>
  <si>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</si>
  <si>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</si>
  <si>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 xml:space="preserve">   Agency.....................................................................................................................................................................................................................…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</si>
  <si>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</si>
  <si>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</si>
  <si>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</si>
  <si>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</si>
  <si>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</si>
  <si>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</si>
  <si>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</si>
  <si>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</si>
  <si>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</si>
  <si>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</si>
  <si>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</si>
  <si>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</si>
  <si>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</si>
  <si>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</si>
  <si>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</si>
  <si>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</si>
  <si>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</si>
  <si>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</si>
  <si>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</si>
  <si>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AN3</t>
  </si>
  <si>
    <t>AP8</t>
  </si>
  <si>
    <t>AQ6</t>
  </si>
  <si>
    <t>AR4</t>
  </si>
  <si>
    <t>AS2</t>
  </si>
  <si>
    <t>AT0</t>
  </si>
  <si>
    <t>AU7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</si>
  <si>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</si>
  <si>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</si>
  <si>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</si>
  <si>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</si>
  <si>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</si>
  <si>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</si>
  <si>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</si>
  <si>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</si>
  <si>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</si>
  <si>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</si>
  <si>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</si>
  <si>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</si>
  <si>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</si>
  <si>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</si>
  <si>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</si>
  <si>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</si>
  <si>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</si>
  <si>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</si>
  <si>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</si>
  <si>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</si>
  <si>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</si>
  <si>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</si>
  <si>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BD8</t>
  </si>
  <si>
    <t>Seized Currency, United States Customs Service.........................................................................................................................</t>
  </si>
  <si>
    <t>BE6</t>
  </si>
  <si>
    <t>CC9</t>
  </si>
  <si>
    <t>CE5</t>
  </si>
  <si>
    <t>CH8</t>
  </si>
  <si>
    <t>CK1</t>
  </si>
  <si>
    <t>CN5</t>
  </si>
  <si>
    <t>BF3</t>
  </si>
  <si>
    <t>CS4</t>
  </si>
  <si>
    <t>CU9</t>
  </si>
  <si>
    <t>CW5</t>
  </si>
  <si>
    <t>DA2</t>
  </si>
  <si>
    <t>DC8</t>
  </si>
  <si>
    <t>BG1</t>
  </si>
  <si>
    <t>DE4</t>
  </si>
  <si>
    <t>DJ3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</si>
  <si>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</si>
  <si>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</si>
  <si>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</si>
  <si>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</si>
  <si>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</si>
  <si>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</si>
  <si>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</si>
  <si>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</si>
  <si>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</si>
  <si>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</si>
  <si>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</si>
  <si>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</si>
  <si>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</si>
  <si>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</si>
  <si>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</si>
  <si>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</si>
  <si>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</si>
  <si>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</si>
  <si>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912820 BZ9</t>
  </si>
  <si>
    <t>BV8</t>
  </si>
  <si>
    <t>CL9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</si>
  <si>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</si>
  <si>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</si>
  <si>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</si>
  <si>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</si>
  <si>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</si>
  <si>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912827  3A8</t>
  </si>
  <si>
    <t>912810  FD5</t>
  </si>
  <si>
    <t>District of Columbia Pension Liability Trust Fund.............................................................................................................................................</t>
  </si>
  <si>
    <t>JY8</t>
  </si>
  <si>
    <t>Pursuant to 31 U.S.C. 3101(b).  By Act of August 5, 1997, Public Law 105-33, Sec. 5701 the Statutory Debt Limit was permanently increased to $5,950,000 million.</t>
  </si>
  <si>
    <t>Bills are sold by competitive bidding on a bank discount yield basis.  The sale price of these securities gives an approximate yield on a  bank discount</t>
  </si>
  <si>
    <t>For price and yield ranges of unmatured securities issued at a premium or discount see Table 3, Public Debt Operations of the quarterly Treasury Bulletin.</t>
  </si>
  <si>
    <t xml:space="preserve">  G55</t>
  </si>
  <si>
    <t>Redeemable at option of United States on and after dates indicated, unless otherwise shown, but only on interest dates on 4 months' notice.</t>
  </si>
  <si>
    <t>Redeemable on demand.</t>
  </si>
  <si>
    <t>6Y3</t>
  </si>
  <si>
    <t xml:space="preserve">  3S9</t>
  </si>
  <si>
    <t xml:space="preserve">  FG8</t>
  </si>
  <si>
    <t xml:space="preserve">  FB9</t>
  </si>
  <si>
    <t xml:space="preserve">  3Q3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</si>
  <si>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</si>
  <si>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</si>
  <si>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Redeemable after 6 months from issue date at option of owner.</t>
  </si>
  <si>
    <t>The bonds are issued at par and semiannual interest is added to principal.  Redeemable without interest during the first twelve months after issue date.  There-</t>
  </si>
  <si>
    <t>Marketable, Treasury Notes--Continued:</t>
  </si>
  <si>
    <t>LB5</t>
  </si>
  <si>
    <t>after, bonds presented for payment prior to age 59-1/2 years carry a penalty except in case of death or disability or upon "roll-over" to other authorized investments.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</si>
  <si>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</si>
  <si>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</si>
  <si>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</si>
  <si>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irretrievably lost.</t>
  </si>
  <si>
    <t>Excludes $29 million National Bank Notes issued prior to July 1, 1929, and $2 million Federal Reserve Bank Notes issued prior to July 1, 1929, determined</t>
  </si>
  <si>
    <t>pursuant to Act of June 30, 1961, 31 U.S.C. 5119 to have been destroyed or irretrievably lost.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</si>
  <si>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</si>
  <si>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</si>
  <si>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</si>
  <si>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</si>
  <si>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</si>
  <si>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</si>
  <si>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</si>
  <si>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</si>
  <si>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</si>
  <si>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</si>
  <si>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</si>
  <si>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</si>
  <si>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Government Account Series - Intragovernmental Holdings:</t>
  </si>
  <si>
    <t>11 e</t>
  </si>
  <si>
    <t>13  e</t>
  </si>
  <si>
    <t>Other Debt:</t>
  </si>
  <si>
    <t>Government Account Series - Intragovernmental Holdings--Continued:</t>
  </si>
  <si>
    <t>Retired Employees Health Benefits Fund,</t>
  </si>
  <si>
    <t>b</t>
  </si>
  <si>
    <t>Issued pursuant to Sec. 832(e), Internal Revenue Code of 1954.</t>
  </si>
  <si>
    <t>TAX STATUS:</t>
  </si>
  <si>
    <t>c</t>
  </si>
  <si>
    <t>The difference between the price paid for a Treasury Bill and the amount received at redemption upon maturity is treated as ordinary income.  If the bill is</t>
  </si>
  <si>
    <t>Expenses and Refunds, Inspection and Grading of Farm Products, Agricultural</t>
  </si>
  <si>
    <t xml:space="preserve">   Marketing Service.....................................................................................................................................................................................................................……</t>
  </si>
  <si>
    <t xml:space="preserve">  EZ7</t>
  </si>
  <si>
    <t>Marketing Services, Agricultural Marketing Service..................................................................................................................................................…</t>
  </si>
  <si>
    <t>Russian Leadership Development Trust Fund...........................................................................................…….</t>
  </si>
  <si>
    <t>LC3</t>
  </si>
  <si>
    <t>Trust Funds, United States Information Agency.................................................................................................................................................</t>
  </si>
  <si>
    <t>sold before maturity, part of the difference between the holder's basis (cost) and the gain realized may be treated as capital gain and part may be treated</t>
  </si>
  <si>
    <t>as ordinary income.  Under Section 1281 of the Internal Revenue Code, some holder of Treasury Bills are required to include currently in income a portion</t>
  </si>
  <si>
    <t>of the discount accruing in the taxable year.</t>
  </si>
  <si>
    <t>6V9</t>
  </si>
  <si>
    <t>6W7</t>
  </si>
  <si>
    <t>4</t>
  </si>
  <si>
    <t xml:space="preserve"> Income derived from these securities is subject to all taxes now or hereafter imposed under the Internal Revenue Code of 1986, as amended.</t>
  </si>
  <si>
    <t>e</t>
  </si>
  <si>
    <r>
      <t xml:space="preserve">Matured Government Account Series - Held By the Public  </t>
    </r>
    <r>
      <rPr>
        <vertAlign val="superscript"/>
        <sz val="12"/>
        <rFont val="Arial"/>
        <family val="2"/>
      </rPr>
      <t>19</t>
    </r>
    <r>
      <rPr>
        <sz val="12"/>
        <rFont val="Arial"/>
        <family val="2"/>
      </rPr>
      <t>..............................................................................…</t>
    </r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</si>
  <si>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</si>
  <si>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Government Account Series - Intragovernmental Holdings.......................................................................................................................................................................……………………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</si>
  <si>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</si>
  <si>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</si>
  <si>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</si>
  <si>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</si>
  <si>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</si>
  <si>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</si>
  <si>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</si>
  <si>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Nonmarketable.......................................................................................................................................................................................................</t>
  </si>
  <si>
    <t>Total Treasury Notes................................................................</t>
  </si>
  <si>
    <t>Total Treasury Bonds....................................................................</t>
  </si>
  <si>
    <t>Total Inflation-Indexed Notes.................................................</t>
  </si>
  <si>
    <r>
      <t xml:space="preserve">Unamortized Discount  </t>
    </r>
    <r>
      <rPr>
        <vertAlign val="superscript"/>
        <sz val="14"/>
        <rFont val="Arial"/>
        <family val="2"/>
      </rPr>
      <t>3   20</t>
    </r>
    <r>
      <rPr>
        <sz val="14"/>
        <rFont val="Arial"/>
        <family val="2"/>
      </rPr>
      <t>..................................................................................…</t>
    </r>
  </si>
  <si>
    <t>Reclassification of Unamortized Discount between Debt Held By the Public versus Intragovernmental Holdings.  Total was not affected.</t>
  </si>
  <si>
    <t>Total Nonmarketable consists of short-term debt (1 year and less) of $300,878 million, long-term debt (greater than 1 year) of $2,661,767 million and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</si>
  <si>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</si>
  <si>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</si>
  <si>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Treasury Bills...............................................................................…</t>
  </si>
  <si>
    <t>Total Unmatured Treasury Notes...............................................................................…</t>
  </si>
  <si>
    <t>Total Matured Treasury Notes...............................................................................…</t>
  </si>
  <si>
    <t>912810  BZ0</t>
  </si>
  <si>
    <t>Total Treasury Notes...............................................................................…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</si>
  <si>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</si>
  <si>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</si>
  <si>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Total Treasury Bonds...............................................................................…</t>
  </si>
  <si>
    <t>Total Treasury Inflation-Indexed Notes...............................................................................…</t>
  </si>
  <si>
    <t>Total Treasury Inflation-Indexed Bonds...............................................................................…</t>
  </si>
  <si>
    <t>Federal Financing Bank...............................................................................…</t>
  </si>
  <si>
    <t>Total Marketable...............................................................................…</t>
  </si>
  <si>
    <t>Total United States Savings Securities...............................................................................…</t>
  </si>
  <si>
    <t>Custodial Tribal Fund, Office of the Special Trustee for American Indians...............................................................................…</t>
  </si>
  <si>
    <t>Federal Ship Financing Escrow Fund, Maritime Administration...............................................................................…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</si>
  <si>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</si>
  <si>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Kuukpik Alaska Escrow Fund.................................................................................................................................................................…</t>
  </si>
  <si>
    <t xml:space="preserve">   Department of Energy.................................................................................................................................................................…</t>
  </si>
  <si>
    <r>
      <t xml:space="preserve">Matured Government Account Series - Intrgovernmental Holdings   </t>
    </r>
    <r>
      <rPr>
        <vertAlign val="superscript"/>
        <sz val="12"/>
        <rFont val="Arial"/>
        <family val="2"/>
      </rPr>
      <t>19</t>
    </r>
    <r>
      <rPr>
        <sz val="12"/>
        <rFont val="Arial"/>
        <family val="2"/>
      </rPr>
      <t>………………………………………</t>
    </r>
  </si>
  <si>
    <t>912827  2S0</t>
  </si>
  <si>
    <t>KZ3</t>
  </si>
  <si>
    <t>Smithsonian Endowment Fund, Smithsonian Institution...............................................................................…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</si>
  <si>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</si>
  <si>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 xml:space="preserve">   Minerals Management Service......................................................................................................................................................................…</t>
  </si>
  <si>
    <t>Environmental Policy and Conflict Resolution Act of 1998...............................................................................…</t>
  </si>
  <si>
    <t>Total Government Account Series - Intragovernmental Holdings............................………………..</t>
  </si>
  <si>
    <t>Thrift Savings Fund, Federal Retirement Thrift Investment Board...............................................................................…</t>
  </si>
  <si>
    <t>Treasury Deposit Funds.................................................................................................................................................................…</t>
  </si>
  <si>
    <t>Unearned Copyright Fees, Library Of Congress.................................................................................................................................................................…</t>
  </si>
  <si>
    <t>Wage and Hour and Public Contracts Restitution Fund, Labor...............................................................................…</t>
  </si>
  <si>
    <t xml:space="preserve">    and Enforcement.................................................................................................................................................................…</t>
  </si>
  <si>
    <t xml:space="preserve">    General Hospital.................................................................................................................................................................…</t>
  </si>
  <si>
    <t>Panama Canal Commission Dissolution Fund......................................................................................................</t>
  </si>
  <si>
    <t xml:space="preserve">    National Credit Union Admininstration.................................................................................................................................................................…</t>
  </si>
  <si>
    <t>Endeavor Teacher Fellowship Trust Fund.................................................................................................................................................................…</t>
  </si>
  <si>
    <t>JZ5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</si>
  <si>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</si>
  <si>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</si>
  <si>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</si>
  <si>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</si>
  <si>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</si>
  <si>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</si>
  <si>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These securities are exempt from all taxation now or hereafter imposed on the principal by any state or any possession of the United States or of any</t>
  </si>
  <si>
    <t>local taxing authority.</t>
  </si>
  <si>
    <t>Published on the fourth business day of each month.</t>
  </si>
  <si>
    <t>For sale by the Superintendent of Documents, U.S. Government Printing Office, Washington, D.C.  20402  (202) 512-1800.</t>
  </si>
  <si>
    <t>The subscription price is $25.00 per year (domestic), $31.35 per year (foreign).  No single copies are sold.</t>
  </si>
  <si>
    <t>National Gift Fund, National Archives and Records Administration...............................................................…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</si>
  <si>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</si>
  <si>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</si>
  <si>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</si>
  <si>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</si>
  <si>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</si>
  <si>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</si>
  <si>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CF8</t>
  </si>
  <si>
    <t>Marketable:</t>
  </si>
  <si>
    <t>KA8</t>
  </si>
  <si>
    <t>Hazardous Substance Superfund............................................................................................................................................</t>
  </si>
  <si>
    <t>Nonmarketable:</t>
  </si>
  <si>
    <t>EK9</t>
  </si>
  <si>
    <t>This statement is available at 3 p.m. Eastern time on the 4th</t>
  </si>
  <si>
    <t>Government Account Series which matured Sunday, March 31, 2002.  Settlement will be Monday, April 1, 2002.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</si>
  <si>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</si>
  <si>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Marketable, Treasury Bonds--Continued:</t>
  </si>
  <si>
    <t>auctions 13-, 26- and 52- week bills.</t>
  </si>
  <si>
    <t>Marketable, Treasury Bonds:</t>
  </si>
  <si>
    <t>Preservation, Birthplace of Abraham Lincoln, National Park Service......................................................................................…</t>
  </si>
  <si>
    <t>Prison Industries Fund, Department of Justice......................................................................................................................…</t>
  </si>
  <si>
    <t>Not Subject to the Statutory Debt Limit:</t>
  </si>
  <si>
    <t>MATURITIES:</t>
  </si>
  <si>
    <t>f</t>
  </si>
  <si>
    <t>Sept. 30, 2001</t>
  </si>
  <si>
    <t>Sept. 30, 2000</t>
  </si>
  <si>
    <r>
      <t>Sept. 30, 1999</t>
    </r>
    <r>
      <rPr>
        <vertAlign val="superscript"/>
        <sz val="12"/>
        <rFont val="Arial"/>
        <family val="2"/>
      </rPr>
      <t>†</t>
    </r>
  </si>
  <si>
    <r>
      <t>Sept. 30, 1998</t>
    </r>
    <r>
      <rPr>
        <vertAlign val="superscript"/>
        <sz val="12"/>
        <rFont val="Arial"/>
        <family val="2"/>
      </rPr>
      <t>†</t>
    </r>
  </si>
  <si>
    <t>COMPILED AND PUBLISHED BY</t>
  </si>
  <si>
    <t>THE BUREAU OF THE PUBLIC DEBT</t>
  </si>
  <si>
    <t>Issue</t>
  </si>
  <si>
    <t>Payable/</t>
  </si>
  <si>
    <t>Interest</t>
  </si>
  <si>
    <t>Amount in Millions of Dollars</t>
  </si>
  <si>
    <t>Loan Description</t>
  </si>
  <si>
    <t>Date</t>
  </si>
  <si>
    <t>Callable</t>
  </si>
  <si>
    <t>Payable</t>
  </si>
  <si>
    <t>Issued</t>
  </si>
  <si>
    <t>(Retired) / Inflation Adj.</t>
  </si>
  <si>
    <t>a</t>
  </si>
  <si>
    <t>Treasury Bills (Maturity Value):</t>
  </si>
  <si>
    <t>CUSIP:</t>
  </si>
  <si>
    <t>Yield:</t>
  </si>
  <si>
    <t xml:space="preserve"> ...................</t>
  </si>
  <si>
    <t>................</t>
  </si>
  <si>
    <t>..............</t>
  </si>
  <si>
    <t>.............</t>
  </si>
  <si>
    <t>Treasury Notes:</t>
  </si>
  <si>
    <t>Series:</t>
  </si>
  <si>
    <t>Interest Rate:</t>
  </si>
  <si>
    <t>V</t>
  </si>
  <si>
    <t>06/30-12/31</t>
  </si>
  <si>
    <t>5-3/4</t>
  </si>
  <si>
    <t>E</t>
  </si>
  <si>
    <t>6-3/8</t>
  </si>
  <si>
    <t>01/15-07/15</t>
  </si>
  <si>
    <t>J</t>
  </si>
  <si>
    <t>01/31-07/31</t>
  </si>
  <si>
    <t>5-7/8</t>
  </si>
  <si>
    <t>A</t>
  </si>
  <si>
    <t>8-7/8</t>
  </si>
  <si>
    <t>02/15-08/15</t>
  </si>
  <si>
    <t>W</t>
  </si>
  <si>
    <t>K</t>
  </si>
  <si>
    <t>5-1/2</t>
  </si>
  <si>
    <t>02/28-08/31</t>
  </si>
  <si>
    <t>AC</t>
  </si>
  <si>
    <t>L</t>
  </si>
  <si>
    <t>03/31-09/30</t>
  </si>
  <si>
    <t>AD</t>
  </si>
  <si>
    <t>6-1/4</t>
  </si>
  <si>
    <t>F</t>
  </si>
  <si>
    <t>7</t>
  </si>
  <si>
    <t>04/15-10/15</t>
  </si>
  <si>
    <t>M</t>
  </si>
  <si>
    <t>6-1/2</t>
  </si>
  <si>
    <t>04/30-10/31</t>
  </si>
  <si>
    <t>B</t>
  </si>
  <si>
    <t>9-1/8</t>
  </si>
  <si>
    <t>05/15-11/15</t>
  </si>
  <si>
    <t>X</t>
  </si>
  <si>
    <t>N</t>
  </si>
  <si>
    <t>6-3/4</t>
  </si>
  <si>
    <t>05/31-11/30</t>
  </si>
  <si>
    <t>P</t>
  </si>
  <si>
    <t>6</t>
  </si>
  <si>
    <t>G</t>
  </si>
  <si>
    <t>Q</t>
  </si>
  <si>
    <t>6-7/8</t>
  </si>
  <si>
    <t>C</t>
  </si>
  <si>
    <t>8</t>
  </si>
  <si>
    <t>Y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</si>
  <si>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</si>
  <si>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</si>
  <si>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</si>
  <si>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</si>
  <si>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</si>
  <si>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</si>
  <si>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</si>
  <si>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</si>
  <si>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</si>
  <si>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Z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</si>
  <si>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</si>
  <si>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</si>
  <si>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</si>
  <si>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</si>
  <si>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</si>
  <si>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</si>
  <si>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</si>
  <si>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</si>
  <si>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</si>
  <si>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</si>
  <si>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</si>
  <si>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</si>
  <si>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</si>
  <si>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</si>
  <si>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8-3/8</t>
  </si>
  <si>
    <t>11-1/8</t>
  </si>
  <si>
    <t>11-7/8</t>
  </si>
  <si>
    <t>12-3/8</t>
  </si>
  <si>
    <t>13-3/4</t>
  </si>
  <si>
    <t>10-3/8</t>
  </si>
  <si>
    <t>10</t>
  </si>
  <si>
    <t>12</t>
  </si>
  <si>
    <t>12-3/4</t>
  </si>
  <si>
    <t>9-3/8</t>
  </si>
  <si>
    <t>13-7/8</t>
  </si>
  <si>
    <t>14</t>
  </si>
  <si>
    <t>13-1/4</t>
  </si>
  <si>
    <t>12-1/2</t>
  </si>
  <si>
    <t>11-1/4</t>
  </si>
  <si>
    <t>10-5/8</t>
  </si>
  <si>
    <t>9-7/8</t>
  </si>
  <si>
    <t>9-1/4</t>
  </si>
  <si>
    <t>9</t>
  </si>
  <si>
    <t xml:space="preserve">  6H0</t>
  </si>
  <si>
    <t>Total Unmatured United States Savings Securities....................................................</t>
  </si>
  <si>
    <t>These securities are not eligible for stripping and reconstitution, see Table V, "Holdings of Treasury Securities in Stripped Form".</t>
  </si>
  <si>
    <t xml:space="preserve">  c   f</t>
  </si>
  <si>
    <t>8-1/8</t>
  </si>
  <si>
    <t>Treasury Inflation-Indexed Notes:</t>
  </si>
  <si>
    <t>3-5/8</t>
  </si>
  <si>
    <t>3-3/8</t>
  </si>
  <si>
    <t>Treasury Inflation-Indexed Bonds:</t>
  </si>
  <si>
    <t xml:space="preserve"> Various</t>
  </si>
  <si>
    <t>...................</t>
  </si>
  <si>
    <t>Domestic Series: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</si>
  <si>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</si>
  <si>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</si>
  <si>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</si>
  <si>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6Q0</t>
  </si>
  <si>
    <t>5-1/8</t>
  </si>
  <si>
    <t>6R8</t>
  </si>
  <si>
    <t>3-1/2</t>
  </si>
  <si>
    <t>6S6</t>
  </si>
  <si>
    <t>Total Domestic Series....................................................</t>
  </si>
  <si>
    <t>Foreign Series:</t>
  </si>
  <si>
    <t>d</t>
  </si>
  <si>
    <t>Zero-coupon Treasury bond......................................</t>
  </si>
  <si>
    <t>Zero-coupon Treasury bond....................................</t>
  </si>
  <si>
    <t>These long-term marketable securities have been issued to the Civil Service Retirement Fund and are not currently traded in the market.</t>
  </si>
  <si>
    <t>Zero-coupon Treasury bond.......................................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</si>
  <si>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</si>
  <si>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</si>
  <si>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</si>
  <si>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</si>
  <si>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</si>
  <si>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</si>
  <si>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State and Local Government Series: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</si>
  <si>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</si>
  <si>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</si>
  <si>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</si>
  <si>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</si>
  <si>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 xml:space="preserve">  (Various rates)..............................................</t>
  </si>
  <si>
    <t>Treasury Special Zero's - Notes..................</t>
  </si>
  <si>
    <t>Treasury Time Deposit - Bonds</t>
  </si>
  <si>
    <t>Treasury Demand Deposit.................................</t>
  </si>
  <si>
    <t xml:space="preserve"> Daily</t>
  </si>
  <si>
    <t>Total State and Local Government</t>
  </si>
  <si>
    <t xml:space="preserve">  Series..................................................................</t>
  </si>
  <si>
    <t>United States Savings Securities:</t>
  </si>
  <si>
    <t>United States Savings Bonds: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</si>
  <si>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</si>
  <si>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</si>
  <si>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</si>
  <si>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</si>
  <si>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 xml:space="preserve"> Series E, EE, and I </t>
  </si>
  <si>
    <t xml:space="preserve">  Unclassified................................................</t>
  </si>
  <si>
    <t xml:space="preserve"> Series H..............................................................</t>
  </si>
  <si>
    <t xml:space="preserve"> Series HH..........................................................</t>
  </si>
  <si>
    <t>7D8</t>
  </si>
  <si>
    <t>7E6</t>
  </si>
  <si>
    <t>2-3/4</t>
  </si>
  <si>
    <t>GN1</t>
  </si>
  <si>
    <t>GP6</t>
  </si>
  <si>
    <t>FQ6</t>
  </si>
  <si>
    <t>CL5</t>
  </si>
  <si>
    <t>JR3</t>
  </si>
  <si>
    <t>JQ5</t>
  </si>
  <si>
    <t>JP7</t>
  </si>
  <si>
    <t xml:space="preserve"> Series H and HH Unclassified...............................</t>
  </si>
  <si>
    <t xml:space="preserve"> Series I..............................................................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</si>
  <si>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</si>
  <si>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</si>
  <si>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</si>
  <si>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</si>
  <si>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>Oklahoma City National Memorial Trust Fund..................................................................................................................................................................</t>
  </si>
  <si>
    <t xml:space="preserve">  Bonds........................................................</t>
  </si>
  <si>
    <t>Nonmarketable--Continued:</t>
  </si>
  <si>
    <t>Abandoned Mines Reclamation Fund, Office of Surface Mining Reclamation</t>
  </si>
  <si>
    <t>ES2</t>
  </si>
  <si>
    <t>Airport and Airway Trust Fund......................................................................................................................................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</si>
  <si>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</si>
  <si>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GG6</t>
  </si>
  <si>
    <t>Aquatic Resources Trust Fund.....................................................................................................................................</t>
  </si>
  <si>
    <t>The data reported represents a one or two month lag behind the date of the Monthly Statement of the Public Debt.</t>
  </si>
  <si>
    <t>(Millions of dollars)</t>
  </si>
  <si>
    <t>Amount Outstanding in Thousands</t>
  </si>
  <si>
    <t>JS1</t>
  </si>
  <si>
    <t>JT9</t>
  </si>
  <si>
    <t>7F3</t>
  </si>
  <si>
    <t>JU6</t>
  </si>
  <si>
    <t>JV4</t>
  </si>
  <si>
    <t>GQ4</t>
  </si>
  <si>
    <t>Fixed Term certificates</t>
  </si>
  <si>
    <t xml:space="preserve">  (Various interest rates)......................................</t>
  </si>
  <si>
    <t>Various</t>
  </si>
  <si>
    <t>GA9</t>
  </si>
  <si>
    <t>FZ5</t>
  </si>
  <si>
    <t>GB7</t>
  </si>
  <si>
    <t xml:space="preserve">*  </t>
  </si>
  <si>
    <t>Capitol Preservation Fund, U.S. Capitol Preservation Commission.....................................................................</t>
  </si>
  <si>
    <t>Christopher Columbus Scholarship Fund, Christopher Columbus</t>
  </si>
  <si>
    <t>Claims Court Judges Retirement Fund.........................................................................................................................</t>
  </si>
  <si>
    <t>Coast Guard General Gift Fund.............................................................................................................................................</t>
  </si>
  <si>
    <t>securities through custodians other than Treasury for which data is not available.</t>
  </si>
  <si>
    <t>Included in this total are marketable securities held by Federal agencies for which Treasury serves as the custodian.  Federal agencies may hold marketable</t>
  </si>
  <si>
    <r>
      <t xml:space="preserve">Guaranteed Debt of Government Agencies  </t>
    </r>
    <r>
      <rPr>
        <vertAlign val="superscript"/>
        <sz val="14"/>
        <rFont val="Arial"/>
        <family val="2"/>
      </rPr>
      <t>4</t>
    </r>
  </si>
  <si>
    <t>6  d</t>
  </si>
  <si>
    <t xml:space="preserve">  7   e</t>
  </si>
  <si>
    <t>7  e</t>
  </si>
  <si>
    <t>Debentures issued (series MM) by FHA that are redeemable with 3 months' notification.</t>
  </si>
  <si>
    <t>Comparative by Breakdown</t>
  </si>
  <si>
    <t>February 2002</t>
  </si>
  <si>
    <t>Total Government Account Series - Held By the Public..............................................................................…</t>
  </si>
  <si>
    <t>Commissary Funds, Federal Prisons.............................................................................................................................................</t>
  </si>
  <si>
    <t>JW2</t>
  </si>
  <si>
    <t>Contributions, American Battle Monuments Commission..........................................................................................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</si>
  <si>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</si>
  <si>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</si>
  <si>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Court of Veterans Appeals Retirement Fund.............................................................................................................................................</t>
  </si>
  <si>
    <t>Department of Defense, Education Benefits Fund.....................................................................................................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</si>
  <si>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</si>
  <si>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</si>
  <si>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(*)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</si>
  <si>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</si>
  <si>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</si>
  <si>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FT9</t>
  </si>
  <si>
    <t>District of Columbia Judges Retirement Fund.............................................................................................................................................</t>
  </si>
  <si>
    <t>Eisenhower Exchange Fellowship Program Trust Fund........................................................................................</t>
  </si>
  <si>
    <t>Host Nation Support for U.S. Relocation Activities Account...............................................................................................</t>
  </si>
  <si>
    <t>Reregistration and Expedited Processing Fund, Environmental Protection</t>
  </si>
  <si>
    <t>Tribal Special Fund, Office of the Special Trustee for American Indians.......................................................................</t>
  </si>
  <si>
    <t>† SOURCE:  Schedule of Federal Debt</t>
  </si>
  <si>
    <r>
      <t xml:space="preserve">        This Month </t>
    </r>
    <r>
      <rPr>
        <vertAlign val="superscript"/>
        <sz val="12"/>
        <rFont val="Arial"/>
        <family val="2"/>
      </rPr>
      <t>18</t>
    </r>
  </si>
  <si>
    <r>
      <t xml:space="preserve">        This Month </t>
    </r>
    <r>
      <rPr>
        <vertAlign val="superscript"/>
        <sz val="13"/>
        <rFont val="Arial"/>
        <family val="2"/>
      </rPr>
      <t>18</t>
    </r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</si>
  <si>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</si>
  <si>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</si>
  <si>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</si>
  <si>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>Employees' Life Insurance Fund, Office of Personnel Management.....................................................................</t>
  </si>
  <si>
    <t>Esther Cattell Schmitt Gift Fund, Treasury.......................................................................................................................................</t>
  </si>
  <si>
    <t>Exchange Stabilization Fund, Office of the Secretary, Treasury................................................................................................................</t>
  </si>
  <si>
    <t>Farm Credit Insurance Fund, Capital Corporation Investment Fund, Farm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</si>
  <si>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</si>
  <si>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</si>
  <si>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</si>
  <si>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</si>
  <si>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Government Account Series - Held By the Public..........................................................................................................…</t>
  </si>
  <si>
    <t xml:space="preserve">Belize Debt for Nature Swap Interest-Bearing Escrow Account....................…...........................…………...  </t>
  </si>
  <si>
    <t>Bank Insurance Fund, The........................................................................................................................................…</t>
  </si>
  <si>
    <t>Bequests and Gifts, Disaster Relief, Funds Appropriated to the President........................................................................................................................................…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</si>
  <si>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</si>
  <si>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</si>
  <si>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</si>
  <si>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>Conditional Gift Fund, General, Department of State..........................................................................................................................................................................................................................…</t>
  </si>
  <si>
    <t>Defense Cooperation Account, Defense................................................................................................................................................................................................................................................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</si>
  <si>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</si>
  <si>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</si>
  <si>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</si>
  <si>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Federal Supplemental District of Columbia Pension Fund..................................................................................................................................................................................………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</si>
  <si>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</si>
  <si>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</si>
  <si>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</si>
  <si>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</si>
  <si>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</si>
  <si>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Land Between the Lakes Trust Fund.............................................................................................................................................................................................................................................................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</si>
  <si>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</si>
  <si>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</si>
  <si>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</si>
  <si>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</si>
  <si>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</si>
  <si>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</si>
  <si>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</si>
  <si>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Patients Benefit Fund, National Institutes of Health..........................................................................................................................................................................................................................…</t>
  </si>
  <si>
    <t>Power Systems, Indian Irrigation Projects, Bureau of Indian Affairs...........................................................................................................................................…</t>
  </si>
  <si>
    <t>Public Enterprise Revolving Fund, Office of Thrift Supervision, Treasury...............…...........................................................................................................................................…..</t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</si>
  <si>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</si>
  <si>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</si>
  <si>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Railroad Retirement Supplemental Account..........................................................................................................................................................................................................…….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</si>
  <si>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</si>
  <si>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</si>
  <si>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Reserve Mobilization Income Insurance Fund, Defense.................................................................................................................................................................................................................</t>
  </si>
  <si>
    <t>Revolving Fund for Administrative Expense, Farm Credit Administration.............…...........................................................................................................................................……….</t>
  </si>
  <si>
    <t>Ricky Ray Hemophilia Relief Fund......................................................................................................................................................................................................................................…….</t>
  </si>
  <si>
    <t>San Gabriel Basin Restoration Fund.............................................................................................................................................................................................................................................................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</si>
  <si>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</si>
  <si>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</si>
  <si>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</si>
  <si>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</si>
  <si>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</si>
  <si>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</si>
  <si>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</si>
  <si>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DU8</t>
  </si>
  <si>
    <t>DV6</t>
  </si>
  <si>
    <t>German Democratic Republic Settlement Fund.........................................................................................................</t>
  </si>
  <si>
    <t>Federal Supplementary Medical Insurance Trust Fund............................................................................................................................................................…</t>
  </si>
  <si>
    <t>Foreign Service Retirement and Disability Fund....................................................................................................................………</t>
  </si>
  <si>
    <t>6 1/4</t>
  </si>
  <si>
    <t>EU7</t>
  </si>
  <si>
    <t>General Post Fund, National Homes, Department of Veterans Affairs....................................................................................................................………</t>
  </si>
  <si>
    <t>KU4</t>
  </si>
  <si>
    <t>Gifts and Donations, National Endowment for the Humanities..................................................................................................................</t>
  </si>
  <si>
    <t>Gifts and Donations, National Endowment of the Arts..................................................................................................................</t>
  </si>
  <si>
    <t>GH4</t>
  </si>
  <si>
    <t>Guarantees of Mortgage-Backed Securities Fund, Government National</t>
  </si>
  <si>
    <t>BW2</t>
  </si>
  <si>
    <t>DQ7</t>
  </si>
  <si>
    <t>Harbor Maintenance Trust Fund............................................................................................................................................</t>
  </si>
  <si>
    <t>Harry S. Truman Memorial Scholarship Trust Fund, Harry S. Truman</t>
  </si>
  <si>
    <t>GC5</t>
  </si>
  <si>
    <t>Highway Trust Fund.......................................................................................................................................................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</si>
</sst>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9" xfId="0" applyBorder="1" applyAlignment="1">
      <alignment/>
    </xf>
    <xf numFmtId="166" fontId="0" fillId="0" borderId="9" xfId="0" applyNumberFormat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6" xfId="0" applyNumberFormat="1" applyBorder="1" applyAlignment="1" applyProtection="1">
      <alignment/>
      <protection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166" fontId="9" fillId="0" borderId="5" xfId="0" applyNumberFormat="1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 horizontal="center"/>
    </xf>
    <xf numFmtId="37" fontId="0" fillId="0" borderId="5" xfId="0" applyNumberFormat="1" applyBorder="1" applyAlignment="1" applyProtection="1">
      <alignment horizontal="right"/>
      <protection/>
    </xf>
    <xf numFmtId="166" fontId="0" fillId="0" borderId="5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69" fontId="6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right"/>
    </xf>
    <xf numFmtId="37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166" fontId="0" fillId="0" borderId="5" xfId="0" applyNumberFormat="1" applyBorder="1" applyAlignment="1" applyProtection="1" quotePrefix="1">
      <alignment horizontal="centerContinuous"/>
      <protection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Continuous"/>
    </xf>
    <xf numFmtId="37" fontId="0" fillId="0" borderId="14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169" fontId="6" fillId="0" borderId="0" xfId="0" applyNumberFormat="1" applyFont="1" applyAlignment="1" applyProtection="1">
      <alignment horizontal="right"/>
      <protection/>
    </xf>
    <xf numFmtId="169" fontId="6" fillId="0" borderId="0" xfId="0" applyNumberFormat="1" applyFont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37" fontId="0" fillId="0" borderId="22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5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0" fillId="0" borderId="22" xfId="0" applyFont="1" applyBorder="1" applyAlignment="1">
      <alignment/>
    </xf>
    <xf numFmtId="37" fontId="9" fillId="0" borderId="23" xfId="0" applyNumberFormat="1" applyFon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5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 quotePrefix="1">
      <alignment/>
      <protection/>
    </xf>
    <xf numFmtId="0" fontId="0" fillId="0" borderId="5" xfId="0" applyBorder="1" applyAlignment="1" quotePrefix="1">
      <alignment horizontal="center"/>
    </xf>
    <xf numFmtId="166" fontId="0" fillId="0" borderId="22" xfId="0" applyNumberFormat="1" applyBorder="1" applyAlignment="1" applyProtection="1">
      <alignment horizontal="center"/>
      <protection/>
    </xf>
    <xf numFmtId="166" fontId="0" fillId="0" borderId="22" xfId="0" applyNumberFormat="1" applyBorder="1" applyAlignment="1" applyProtection="1">
      <alignment horizontal="centerContinuous"/>
      <protection/>
    </xf>
    <xf numFmtId="0" fontId="7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 quotePrefix="1">
      <alignment horizontal="center"/>
    </xf>
    <xf numFmtId="37" fontId="0" fillId="0" borderId="5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6" xfId="0" applyNumberFormat="1" applyFont="1" applyBorder="1" applyAlignment="1">
      <alignment horizontal="centerContinuous"/>
    </xf>
    <xf numFmtId="49" fontId="0" fillId="0" borderId="25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7" fontId="0" fillId="0" borderId="25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NumberFormat="1" applyAlignment="1" applyProtection="1" quotePrefix="1">
      <alignment horizontal="center"/>
      <protection/>
    </xf>
    <xf numFmtId="166" fontId="0" fillId="0" borderId="15" xfId="0" applyNumberForma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0" fillId="0" borderId="5" xfId="0" applyBorder="1" applyAlignment="1">
      <alignment horizontal="right"/>
    </xf>
    <xf numFmtId="0" fontId="0" fillId="0" borderId="27" xfId="0" applyBorder="1" applyAlignment="1">
      <alignment horizontal="centerContinuous"/>
    </xf>
    <xf numFmtId="37" fontId="0" fillId="0" borderId="4" xfId="0" applyNumberFormat="1" applyBorder="1" applyAlignment="1" applyProtection="1">
      <alignment horizontal="centerContinuous"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right"/>
      <protection/>
    </xf>
    <xf numFmtId="0" fontId="0" fillId="0" borderId="22" xfId="0" applyBorder="1" applyAlignment="1" quotePrefix="1">
      <alignment horizontal="right"/>
    </xf>
    <xf numFmtId="0" fontId="0" fillId="0" borderId="22" xfId="0" applyBorder="1" applyAlignment="1" quotePrefix="1">
      <alignment horizontal="center"/>
    </xf>
    <xf numFmtId="0" fontId="18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right"/>
    </xf>
    <xf numFmtId="166" fontId="9" fillId="0" borderId="22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"/>
    </xf>
    <xf numFmtId="37" fontId="9" fillId="0" borderId="22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right"/>
      <protection/>
    </xf>
    <xf numFmtId="0" fontId="0" fillId="0" borderId="18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37" fontId="0" fillId="0" borderId="14" xfId="0" applyNumberFormat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7" fontId="15" fillId="0" borderId="0" xfId="0" applyNumberFormat="1" applyFont="1" applyBorder="1" applyAlignment="1" applyProtection="1">
      <alignment/>
      <protection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/>
    </xf>
    <xf numFmtId="37" fontId="15" fillId="0" borderId="22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Continuous"/>
      <protection/>
    </xf>
    <xf numFmtId="0" fontId="6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180" fontId="0" fillId="0" borderId="4" xfId="15" applyNumberFormat="1" applyBorder="1" applyAlignment="1">
      <alignment horizontal="right"/>
    </xf>
    <xf numFmtId="37" fontId="0" fillId="0" borderId="4" xfId="0" applyNumberFormat="1" applyFont="1" applyBorder="1" applyAlignment="1" applyProtection="1">
      <alignment/>
      <protection/>
    </xf>
    <xf numFmtId="180" fontId="6" fillId="0" borderId="4" xfId="15" applyNumberFormat="1" applyFont="1" applyBorder="1" applyAlignment="1">
      <alignment/>
    </xf>
    <xf numFmtId="180" fontId="9" fillId="0" borderId="28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6" xfId="0" applyFont="1" applyBorder="1" applyAlignment="1">
      <alignment/>
    </xf>
    <xf numFmtId="0" fontId="23" fillId="0" borderId="29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7" xfId="15" applyNumberFormat="1" applyFont="1" applyBorder="1" applyAlignment="1">
      <alignment/>
    </xf>
    <xf numFmtId="180" fontId="8" fillId="0" borderId="5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8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centerContinuous"/>
      <protection/>
    </xf>
    <xf numFmtId="37" fontId="0" fillId="0" borderId="12" xfId="0" applyNumberFormat="1" applyBorder="1" applyAlignment="1" applyProtection="1">
      <alignment horizontal="centerContinuous"/>
      <protection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 horizontal="centerContinuous"/>
      <protection/>
    </xf>
    <xf numFmtId="37" fontId="6" fillId="0" borderId="24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5" xfId="0" applyFont="1" applyBorder="1" applyAlignment="1">
      <alignment horizontal="centerContinuous"/>
    </xf>
    <xf numFmtId="166" fontId="6" fillId="0" borderId="5" xfId="0" applyNumberFormat="1" applyFont="1" applyBorder="1" applyAlignment="1" applyProtection="1">
      <alignment horizontal="centerContinuous"/>
      <protection/>
    </xf>
    <xf numFmtId="0" fontId="6" fillId="0" borderId="5" xfId="0" applyFont="1" applyBorder="1" applyAlignment="1">
      <alignment horizontal="center"/>
    </xf>
    <xf numFmtId="37" fontId="6" fillId="0" borderId="24" xfId="0" applyNumberFormat="1" applyFont="1" applyBorder="1" applyAlignment="1" applyProtection="1">
      <alignment/>
      <protection/>
    </xf>
    <xf numFmtId="37" fontId="6" fillId="0" borderId="31" xfId="0" applyNumberFormat="1" applyFont="1" applyBorder="1" applyAlignment="1" applyProtection="1">
      <alignment horizontal="centerContinuous"/>
      <protection/>
    </xf>
    <xf numFmtId="37" fontId="6" fillId="0" borderId="32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6" fillId="0" borderId="32" xfId="0" applyNumberFormat="1" applyFont="1" applyBorder="1" applyAlignment="1" applyProtection="1">
      <alignment horizontal="centerContinuous"/>
      <protection/>
    </xf>
    <xf numFmtId="37" fontId="6" fillId="0" borderId="22" xfId="0" applyNumberFormat="1" applyFont="1" applyBorder="1" applyAlignment="1" applyProtection="1">
      <alignment horizontal="centerContinuous"/>
      <protection/>
    </xf>
    <xf numFmtId="0" fontId="6" fillId="0" borderId="7" xfId="0" applyFont="1" applyBorder="1" applyAlignment="1">
      <alignment/>
    </xf>
    <xf numFmtId="37" fontId="6" fillId="0" borderId="24" xfId="0" applyNumberFormat="1" applyFont="1" applyBorder="1" applyAlignment="1" applyProtection="1">
      <alignment horizontal="right"/>
      <protection/>
    </xf>
    <xf numFmtId="0" fontId="6" fillId="0" borderId="33" xfId="0" applyFont="1" applyBorder="1" applyAlignment="1">
      <alignment horizontal="center"/>
    </xf>
    <xf numFmtId="37" fontId="6" fillId="0" borderId="33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23" xfId="0" applyNumberFormat="1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37" fontId="6" fillId="0" borderId="23" xfId="0" applyNumberFormat="1" applyFont="1" applyBorder="1" applyAlignment="1" applyProtection="1">
      <alignment horizontal="right"/>
      <protection/>
    </xf>
    <xf numFmtId="0" fontId="6" fillId="0" borderId="13" xfId="0" applyFont="1" applyBorder="1" applyAlignment="1">
      <alignment horizontal="right"/>
    </xf>
    <xf numFmtId="0" fontId="6" fillId="0" borderId="4" xfId="0" applyFont="1" applyBorder="1" applyAlignment="1">
      <alignment/>
    </xf>
    <xf numFmtId="37" fontId="9" fillId="0" borderId="4" xfId="0" applyNumberFormat="1" applyFon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9" fillId="0" borderId="34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22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0" fontId="6" fillId="0" borderId="18" xfId="0" applyFont="1" applyBorder="1" applyAlignment="1">
      <alignment/>
    </xf>
    <xf numFmtId="37" fontId="8" fillId="0" borderId="6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37" fontId="8" fillId="0" borderId="5" xfId="0" applyNumberFormat="1" applyFont="1" applyBorder="1" applyAlignment="1">
      <alignment/>
    </xf>
    <xf numFmtId="180" fontId="8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5" xfId="15" applyNumberFormat="1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180" fontId="8" fillId="0" borderId="14" xfId="15" applyNumberFormat="1" applyFont="1" applyBorder="1" applyAlignment="1">
      <alignment/>
    </xf>
    <xf numFmtId="180" fontId="8" fillId="0" borderId="21" xfId="0" applyNumberFormat="1" applyFont="1" applyBorder="1" applyAlignment="1">
      <alignment/>
    </xf>
    <xf numFmtId="0" fontId="25" fillId="0" borderId="5" xfId="0" applyFont="1" applyBorder="1" applyAlignment="1" quotePrefix="1">
      <alignment horizontal="right"/>
    </xf>
    <xf numFmtId="0" fontId="25" fillId="0" borderId="5" xfId="0" applyFont="1" applyBorder="1" applyAlignment="1">
      <alignment horizontal="right"/>
    </xf>
    <xf numFmtId="37" fontId="11" fillId="0" borderId="12" xfId="0" applyNumberFormat="1" applyFont="1" applyBorder="1" applyAlignment="1" applyProtection="1">
      <alignment/>
      <protection/>
    </xf>
    <xf numFmtId="0" fontId="1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2" xfId="0" applyFont="1" applyBorder="1" applyAlignment="1">
      <alignment/>
    </xf>
    <xf numFmtId="41" fontId="6" fillId="0" borderId="32" xfId="15" applyNumberFormat="1" applyFont="1" applyBorder="1" applyAlignment="1">
      <alignment/>
    </xf>
    <xf numFmtId="41" fontId="0" fillId="0" borderId="10" xfId="15" applyNumberFormat="1" applyFont="1" applyBorder="1" applyAlignment="1">
      <alignment/>
    </xf>
    <xf numFmtId="41" fontId="0" fillId="0" borderId="14" xfId="15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6" xfId="15" applyNumberFormat="1" applyFont="1" applyBorder="1" applyAlignment="1">
      <alignment/>
    </xf>
    <xf numFmtId="41" fontId="6" fillId="0" borderId="35" xfId="15" applyNumberFormat="1" applyFont="1" applyBorder="1" applyAlignment="1">
      <alignment/>
    </xf>
    <xf numFmtId="41" fontId="6" fillId="0" borderId="22" xfId="15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10" fillId="0" borderId="36" xfId="0" applyFont="1" applyBorder="1" applyAlignment="1">
      <alignment/>
    </xf>
    <xf numFmtId="0" fontId="12" fillId="0" borderId="36" xfId="0" applyFont="1" applyBorder="1" applyAlignment="1">
      <alignment/>
    </xf>
    <xf numFmtId="14" fontId="0" fillId="0" borderId="16" xfId="0" applyNumberFormat="1" applyBorder="1" applyAlignment="1">
      <alignment horizontal="centerContinuous"/>
    </xf>
    <xf numFmtId="0" fontId="0" fillId="0" borderId="0" xfId="0" applyFont="1" applyAlignment="1" quotePrefix="1">
      <alignment horizontal="right"/>
    </xf>
    <xf numFmtId="37" fontId="0" fillId="0" borderId="14" xfId="0" applyNumberFormat="1" applyBorder="1" applyAlignment="1" applyProtection="1">
      <alignment horizontal="centerContinuous"/>
      <protection/>
    </xf>
    <xf numFmtId="37" fontId="0" fillId="0" borderId="14" xfId="0" applyNumberFormat="1" applyBorder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38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 quotePrefix="1">
      <alignment horizontal="left" vertical="center"/>
    </xf>
    <xf numFmtId="3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37" fontId="0" fillId="0" borderId="39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177" fontId="0" fillId="0" borderId="5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 quotePrefix="1">
      <alignment horizontal="right"/>
    </xf>
    <xf numFmtId="0" fontId="0" fillId="0" borderId="14" xfId="0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right"/>
    </xf>
    <xf numFmtId="177" fontId="0" fillId="0" borderId="1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14" fontId="0" fillId="0" borderId="5" xfId="0" applyNumberFormat="1" applyFont="1" applyBorder="1" applyAlignment="1" applyProtection="1">
      <alignment horizontal="center"/>
      <protection/>
    </xf>
    <xf numFmtId="37" fontId="0" fillId="0" borderId="4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2" xfId="0" applyFont="1" applyBorder="1" applyAlignment="1">
      <alignment horizontal="right"/>
    </xf>
    <xf numFmtId="14" fontId="0" fillId="0" borderId="22" xfId="0" applyNumberFormat="1" applyFont="1" applyBorder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/>
      <protection/>
    </xf>
    <xf numFmtId="11" fontId="0" fillId="0" borderId="0" xfId="0" applyNumberFormat="1" applyFont="1" applyAlignment="1" quotePrefix="1">
      <alignment horizontal="right"/>
    </xf>
    <xf numFmtId="14" fontId="0" fillId="0" borderId="0" xfId="0" applyNumberFormat="1" applyFont="1" applyAlignment="1" quotePrefix="1">
      <alignment horizontal="center"/>
    </xf>
    <xf numFmtId="14" fontId="0" fillId="0" borderId="5" xfId="0" applyNumberFormat="1" applyFont="1" applyBorder="1" applyAlignment="1">
      <alignment/>
    </xf>
    <xf numFmtId="37" fontId="0" fillId="0" borderId="7" xfId="0" applyNumberFormat="1" applyFont="1" applyBorder="1" applyAlignment="1" applyProtection="1">
      <alignment horizontal="left"/>
      <protection/>
    </xf>
    <xf numFmtId="37" fontId="0" fillId="0" borderId="7" xfId="0" applyNumberFormat="1" applyFont="1" applyBorder="1" applyAlignment="1" applyProtection="1">
      <alignment/>
      <protection/>
    </xf>
    <xf numFmtId="0" fontId="10" fillId="0" borderId="34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9" fillId="0" borderId="22" xfId="0" applyFont="1" applyBorder="1" applyAlignment="1">
      <alignment horizontal="right"/>
    </xf>
    <xf numFmtId="166" fontId="9" fillId="0" borderId="22" xfId="0" applyNumberFormat="1" applyFont="1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41" xfId="0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18" xfId="0" applyNumberFormat="1" applyFont="1" applyBorder="1" applyAlignment="1">
      <alignment horizontal="centerContinuous"/>
    </xf>
    <xf numFmtId="7" fontId="0" fillId="0" borderId="41" xfId="0" applyNumberFormat="1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7" fontId="28" fillId="0" borderId="0" xfId="0" applyNumberFormat="1" applyFont="1" applyAlignment="1">
      <alignment horizontal="centerContinuous"/>
    </xf>
    <xf numFmtId="0" fontId="4" fillId="0" borderId="18" xfId="0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34" xfId="15" applyNumberFormat="1" applyFont="1" applyBorder="1" applyAlignment="1">
      <alignment/>
    </xf>
    <xf numFmtId="37" fontId="9" fillId="0" borderId="22" xfId="15" applyNumberFormat="1" applyFont="1" applyBorder="1" applyAlignment="1">
      <alignment/>
    </xf>
    <xf numFmtId="37" fontId="8" fillId="0" borderId="18" xfId="15" applyNumberFormat="1" applyFont="1" applyBorder="1" applyAlignment="1">
      <alignment horizontal="right"/>
    </xf>
    <xf numFmtId="37" fontId="8" fillId="0" borderId="0" xfId="15" applyNumberFormat="1" applyFont="1" applyAlignment="1">
      <alignment/>
    </xf>
    <xf numFmtId="37" fontId="8" fillId="0" borderId="34" xfId="0" applyNumberFormat="1" applyFont="1" applyBorder="1" applyAlignment="1">
      <alignment/>
    </xf>
    <xf numFmtId="37" fontId="16" fillId="0" borderId="22" xfId="0" applyNumberFormat="1" applyFont="1" applyBorder="1" applyAlignment="1">
      <alignment/>
    </xf>
    <xf numFmtId="37" fontId="8" fillId="0" borderId="43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6" xfId="15" applyNumberFormat="1" applyFont="1" applyBorder="1" applyAlignment="1">
      <alignment horizontal="right"/>
    </xf>
    <xf numFmtId="37" fontId="16" fillId="0" borderId="18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5" xfId="0" applyNumberFormat="1" applyFont="1" applyBorder="1" applyAlignment="1" quotePrefix="1">
      <alignment horizontal="center"/>
    </xf>
    <xf numFmtId="0" fontId="0" fillId="0" borderId="5" xfId="0" applyNumberFormat="1" applyFont="1" applyBorder="1" applyAlignment="1" quotePrefix="1">
      <alignment horizontal="centerContinuous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7" fillId="0" borderId="22" xfId="0" applyFont="1" applyBorder="1" applyAlignment="1">
      <alignment horizontal="left"/>
    </xf>
    <xf numFmtId="37" fontId="15" fillId="0" borderId="35" xfId="0" applyNumberFormat="1" applyFont="1" applyBorder="1" applyAlignment="1" applyProtection="1">
      <alignment/>
      <protection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/>
    </xf>
    <xf numFmtId="0" fontId="6" fillId="0" borderId="36" xfId="0" applyFont="1" applyBorder="1" applyAlignment="1">
      <alignment/>
    </xf>
    <xf numFmtId="37" fontId="15" fillId="0" borderId="36" xfId="0" applyNumberFormat="1" applyFont="1" applyBorder="1" applyAlignment="1" applyProtection="1">
      <alignment/>
      <protection/>
    </xf>
    <xf numFmtId="0" fontId="0" fillId="0" borderId="36" xfId="0" applyBorder="1" applyAlignment="1">
      <alignment horizontal="centerContinuous"/>
    </xf>
    <xf numFmtId="0" fontId="0" fillId="0" borderId="36" xfId="0" applyBorder="1" applyAlignment="1">
      <alignment/>
    </xf>
    <xf numFmtId="37" fontId="0" fillId="0" borderId="30" xfId="0" applyNumberFormat="1" applyFont="1" applyBorder="1" applyAlignment="1" applyProtection="1">
      <alignment horizontal="right"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 horizontal="centerContinuous"/>
      <protection/>
    </xf>
    <xf numFmtId="0" fontId="10" fillId="0" borderId="3" xfId="0" applyFont="1" applyBorder="1" applyAlignment="1">
      <alignment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29" xfId="0" applyNumberFormat="1" applyFont="1" applyBorder="1" applyAlignment="1" quotePrefix="1">
      <alignment horizontal="center" vertical="center"/>
    </xf>
    <xf numFmtId="0" fontId="10" fillId="0" borderId="45" xfId="0" applyFont="1" applyBorder="1" applyAlignment="1">
      <alignment/>
    </xf>
    <xf numFmtId="0" fontId="0" fillId="0" borderId="46" xfId="0" applyNumberFormat="1" applyFont="1" applyBorder="1" applyAlignment="1" quotePrefix="1">
      <alignment horizontal="center"/>
    </xf>
    <xf numFmtId="0" fontId="0" fillId="0" borderId="26" xfId="0" applyNumberFormat="1" applyFont="1" applyBorder="1" applyAlignment="1" quotePrefix="1">
      <alignment horizontal="center" vertical="center"/>
    </xf>
    <xf numFmtId="37" fontId="0" fillId="0" borderId="47" xfId="0" applyNumberFormat="1" applyFont="1" applyBorder="1" applyAlignment="1">
      <alignment/>
    </xf>
    <xf numFmtId="41" fontId="0" fillId="0" borderId="26" xfId="15" applyNumberFormat="1" applyFont="1" applyBorder="1" applyAlignment="1">
      <alignment/>
    </xf>
    <xf numFmtId="37" fontId="0" fillId="0" borderId="48" xfId="0" applyNumberFormat="1" applyFont="1" applyBorder="1" applyAlignment="1">
      <alignment/>
    </xf>
    <xf numFmtId="166" fontId="0" fillId="0" borderId="22" xfId="0" applyNumberFormat="1" applyBorder="1" applyAlignment="1" applyProtection="1" quotePrefix="1">
      <alignment horizontal="centerContinuous"/>
      <protection/>
    </xf>
    <xf numFmtId="166" fontId="0" fillId="0" borderId="22" xfId="0" applyNumberFormat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4" xfId="0" applyFont="1" applyBorder="1" applyAlignment="1" quotePrefix="1">
      <alignment horizontal="right"/>
    </xf>
    <xf numFmtId="49" fontId="0" fillId="0" borderId="0" xfId="0" applyNumberFormat="1" applyFont="1" applyAlignment="1">
      <alignment horizontal="right"/>
    </xf>
    <xf numFmtId="0" fontId="0" fillId="0" borderId="49" xfId="0" applyFont="1" applyBorder="1" applyAlignment="1">
      <alignment/>
    </xf>
    <xf numFmtId="11" fontId="0" fillId="0" borderId="0" xfId="0" applyNumberFormat="1" applyAlignment="1" quotePrefix="1">
      <alignment horizontal="right"/>
    </xf>
    <xf numFmtId="49" fontId="17" fillId="0" borderId="0" xfId="0" applyNumberFormat="1" applyFont="1" applyAlignment="1">
      <alignment horizontal="center"/>
    </xf>
    <xf numFmtId="15" fontId="0" fillId="0" borderId="4" xfId="0" applyNumberFormat="1" applyFont="1" applyBorder="1" applyAlignment="1" quotePrefix="1">
      <alignment horizontal="center" vertical="center"/>
    </xf>
    <xf numFmtId="37" fontId="0" fillId="0" borderId="50" xfId="0" applyNumberFormat="1" applyBorder="1" applyAlignment="1" applyProtection="1">
      <alignment horizontal="centerContinuous"/>
      <protection/>
    </xf>
    <xf numFmtId="37" fontId="0" fillId="0" borderId="51" xfId="0" applyNumberFormat="1" applyBorder="1" applyAlignment="1" applyProtection="1">
      <alignment horizontal="centerContinuous"/>
      <protection/>
    </xf>
    <xf numFmtId="37" fontId="0" fillId="0" borderId="11" xfId="0" applyNumberFormat="1" applyFont="1" applyBorder="1" applyAlignment="1" applyProtection="1">
      <alignment horizontal="right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3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2"/>
  <sheetViews>
    <sheetView tabSelected="1" view="pageBreakPreview" zoomScale="65" zoomScaleNormal="65" zoomScaleSheetLayoutView="65" workbookViewId="0" topLeftCell="A24">
      <selection activeCell="C42" sqref="C42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4.99609375" style="0" customWidth="1"/>
    <col min="10" max="10" width="4.99609375" style="0" customWidth="1"/>
    <col min="11" max="11" width="4.88671875" style="0" customWidth="1"/>
    <col min="12" max="12" width="16.5546875" style="0" customWidth="1"/>
    <col min="13" max="13" width="4.77734375" style="0" customWidth="1"/>
  </cols>
  <sheetData>
    <row r="1" spans="1:235" ht="37.5">
      <c r="A1" s="470" t="s">
        <v>83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470" t="s">
        <v>559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4" spans="1:235" ht="32.25" customHeight="1">
      <c r="A4" s="471" t="s">
        <v>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ht="20.25" customHeight="1" thickBot="1">
      <c r="A5" s="472" t="s">
        <v>561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16.5" customHeight="1" thickTop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13" ht="23.25">
      <c r="A7" s="446" t="s">
        <v>9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</row>
    <row r="8" spans="1:11" ht="8.25" customHeight="1">
      <c r="A8" s="5"/>
      <c r="B8" s="6"/>
      <c r="C8" s="6"/>
      <c r="D8" s="6"/>
      <c r="E8" s="6"/>
      <c r="F8" s="3"/>
      <c r="G8" s="3"/>
      <c r="H8" s="3"/>
      <c r="I8" s="3"/>
      <c r="J8" s="3"/>
      <c r="K8" s="3"/>
    </row>
    <row r="9" spans="1:13" ht="16.5" customHeight="1">
      <c r="A9" s="468" t="s">
        <v>774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</row>
    <row r="10" spans="1:13" ht="20.25">
      <c r="A10" s="210"/>
      <c r="B10" s="210"/>
      <c r="C10" s="210"/>
      <c r="D10" s="210"/>
      <c r="E10" s="462" t="s">
        <v>460</v>
      </c>
      <c r="F10" s="463"/>
      <c r="G10" s="463"/>
      <c r="H10" s="464"/>
      <c r="I10" s="464"/>
      <c r="J10" s="465"/>
      <c r="K10" s="269"/>
      <c r="L10" s="272"/>
      <c r="M10" s="272"/>
    </row>
    <row r="11" spans="1:13" ht="20.25">
      <c r="A11" s="453" t="s">
        <v>562</v>
      </c>
      <c r="B11" s="453"/>
      <c r="C11" s="453"/>
      <c r="D11" s="449"/>
      <c r="E11" s="447" t="s">
        <v>463</v>
      </c>
      <c r="F11" s="448"/>
      <c r="G11" s="449"/>
      <c r="H11" s="447" t="s">
        <v>461</v>
      </c>
      <c r="I11" s="448"/>
      <c r="J11" s="449"/>
      <c r="K11" s="447" t="s">
        <v>457</v>
      </c>
      <c r="L11" s="466"/>
      <c r="M11" s="466"/>
    </row>
    <row r="12" spans="1:13" ht="20.25">
      <c r="A12" s="211"/>
      <c r="B12" s="211"/>
      <c r="C12" s="211"/>
      <c r="D12" s="212"/>
      <c r="E12" s="450" t="s">
        <v>23</v>
      </c>
      <c r="F12" s="451"/>
      <c r="G12" s="452"/>
      <c r="H12" s="450" t="s">
        <v>462</v>
      </c>
      <c r="I12" s="451"/>
      <c r="J12" s="452"/>
      <c r="K12" s="213"/>
      <c r="L12" s="214"/>
      <c r="M12" s="73"/>
    </row>
    <row r="13" spans="1:12" ht="18">
      <c r="A13" s="107" t="s">
        <v>565</v>
      </c>
      <c r="D13" s="12"/>
      <c r="E13" s="10"/>
      <c r="F13" s="11"/>
      <c r="G13" s="12"/>
      <c r="H13" s="10"/>
      <c r="J13" s="12"/>
      <c r="K13" s="10"/>
      <c r="L13" s="11"/>
    </row>
    <row r="14" spans="2:12" ht="19.5" customHeight="1">
      <c r="B14" s="107" t="s">
        <v>287</v>
      </c>
      <c r="D14" s="25"/>
      <c r="E14" s="170" t="s">
        <v>560</v>
      </c>
      <c r="F14" s="397">
        <f>SUM(Marketable!O56)-I14</f>
        <v>834378.034</v>
      </c>
      <c r="G14" s="206"/>
      <c r="H14" s="170"/>
      <c r="I14" s="121">
        <v>31</v>
      </c>
      <c r="J14" s="199"/>
      <c r="K14" s="217"/>
      <c r="L14" s="389">
        <f>Marketable!O56</f>
        <v>834409.034</v>
      </c>
    </row>
    <row r="15" spans="2:12" ht="19.5" customHeight="1">
      <c r="B15" s="107" t="s">
        <v>806</v>
      </c>
      <c r="D15" s="25"/>
      <c r="E15" s="282" t="s">
        <v>560</v>
      </c>
      <c r="F15" s="397">
        <f>SUM(Marketable!O148)-I15</f>
        <v>1443241.603</v>
      </c>
      <c r="G15" s="432"/>
      <c r="H15" s="281"/>
      <c r="I15" s="121">
        <f>1+7</f>
        <v>8</v>
      </c>
      <c r="J15" s="432"/>
      <c r="K15" s="217"/>
      <c r="L15" s="389">
        <f>Marketable!O148</f>
        <v>1443249.603</v>
      </c>
    </row>
    <row r="16" spans="2:12" ht="19.5" customHeight="1">
      <c r="B16" s="107" t="s">
        <v>807</v>
      </c>
      <c r="D16" s="25"/>
      <c r="E16" s="282" t="s">
        <v>560</v>
      </c>
      <c r="F16" s="397">
        <f>SUM(Marketable!O273)-I16</f>
        <v>596325.15</v>
      </c>
      <c r="G16" s="432"/>
      <c r="H16" s="281"/>
      <c r="I16" s="121">
        <f>419.044+40.25+0.027</f>
        <v>459.32099999999997</v>
      </c>
      <c r="J16" s="432"/>
      <c r="K16" s="217"/>
      <c r="L16" s="389">
        <f>Marketable!O273</f>
        <v>596784.471</v>
      </c>
    </row>
    <row r="17" spans="2:12" ht="19.5" customHeight="1">
      <c r="B17" s="107" t="s">
        <v>288</v>
      </c>
      <c r="D17" s="25"/>
      <c r="E17" s="170" t="s">
        <v>560</v>
      </c>
      <c r="F17" s="397">
        <f>SUM(Marketable!O284)</f>
        <v>100920.89299999998</v>
      </c>
      <c r="G17" s="206"/>
      <c r="H17" s="170"/>
      <c r="I17" s="121">
        <v>0</v>
      </c>
      <c r="J17" s="199"/>
      <c r="K17" s="217"/>
      <c r="L17" s="389">
        <f>Marketable!O284</f>
        <v>100920.89299999998</v>
      </c>
    </row>
    <row r="18" spans="2:12" ht="19.5" customHeight="1">
      <c r="B18" s="107" t="s">
        <v>289</v>
      </c>
      <c r="D18" s="25"/>
      <c r="E18" s="170" t="s">
        <v>560</v>
      </c>
      <c r="F18" s="397">
        <f>SUM(Marketable!O291)</f>
        <v>44660.71399999999</v>
      </c>
      <c r="G18" s="206"/>
      <c r="H18" s="170"/>
      <c r="I18" s="121">
        <v>0</v>
      </c>
      <c r="J18" s="199"/>
      <c r="K18" s="217"/>
      <c r="L18" s="389">
        <f>Marketable!O291</f>
        <v>44660.71399999999</v>
      </c>
    </row>
    <row r="19" spans="2:12" ht="19.5" customHeight="1">
      <c r="B19" s="107" t="s">
        <v>290</v>
      </c>
      <c r="D19" s="25"/>
      <c r="E19" s="170" t="s">
        <v>560</v>
      </c>
      <c r="F19" s="121">
        <v>0</v>
      </c>
      <c r="G19" s="207"/>
      <c r="H19" s="170"/>
      <c r="I19" s="392">
        <f>SUM(Marketable!O293)</f>
        <v>14999.99</v>
      </c>
      <c r="J19" s="199"/>
      <c r="K19" s="217"/>
      <c r="L19" s="389">
        <f>Marketable!O293</f>
        <v>14999.99</v>
      </c>
    </row>
    <row r="20" spans="1:12" s="75" customFormat="1" ht="21.75" thickBot="1">
      <c r="A20" s="155" t="s">
        <v>291</v>
      </c>
      <c r="D20" s="200"/>
      <c r="E20" s="204" t="s">
        <v>560</v>
      </c>
      <c r="F20" s="398">
        <f>SUM(F14:F19)+1</f>
        <v>3019527.3940000003</v>
      </c>
      <c r="G20" s="208"/>
      <c r="H20" s="281">
        <v>2</v>
      </c>
      <c r="I20" s="391">
        <f>SUM(I14:I19)</f>
        <v>15498.311</v>
      </c>
      <c r="J20" s="200"/>
      <c r="K20" s="277"/>
      <c r="L20" s="398">
        <f>Marketable!O295-1</f>
        <v>3035024.6850000005</v>
      </c>
    </row>
    <row r="21" spans="4:12" ht="15.75" thickTop="1">
      <c r="D21" s="25"/>
      <c r="E21" s="14"/>
      <c r="F21" s="399"/>
      <c r="G21" s="25"/>
      <c r="H21" s="14"/>
      <c r="I21" s="402"/>
      <c r="J21" s="25"/>
      <c r="K21" s="14"/>
      <c r="L21" s="399"/>
    </row>
    <row r="22" spans="1:12" ht="18">
      <c r="A22" s="107" t="s">
        <v>568</v>
      </c>
      <c r="D22" s="25"/>
      <c r="E22" s="14"/>
      <c r="F22" s="399"/>
      <c r="G22" s="25"/>
      <c r="H22" s="14"/>
      <c r="I22" s="402"/>
      <c r="J22" s="25"/>
      <c r="K22" s="14"/>
      <c r="L22" s="399"/>
    </row>
    <row r="23" spans="2:12" ht="19.5" customHeight="1">
      <c r="B23" s="107" t="s">
        <v>292</v>
      </c>
      <c r="D23" s="25"/>
      <c r="E23" s="170" t="s">
        <v>560</v>
      </c>
      <c r="F23" s="397">
        <f>Nonmarketable!O20</f>
        <v>29995.179999999997</v>
      </c>
      <c r="G23" s="206"/>
      <c r="H23" s="170"/>
      <c r="I23" s="121">
        <v>0</v>
      </c>
      <c r="J23" s="199"/>
      <c r="K23" s="217"/>
      <c r="L23" s="389">
        <f>Nonmarketable!O20</f>
        <v>29995.179999999997</v>
      </c>
    </row>
    <row r="24" spans="2:12" ht="19.5" customHeight="1">
      <c r="B24" s="107" t="s">
        <v>293</v>
      </c>
      <c r="D24" s="25"/>
      <c r="E24" s="170" t="s">
        <v>560</v>
      </c>
      <c r="F24" s="397">
        <f>Nonmarketable!O34</f>
        <v>14578.256000000001</v>
      </c>
      <c r="G24" s="206"/>
      <c r="H24" s="170"/>
      <c r="I24" s="121">
        <v>0</v>
      </c>
      <c r="J24" s="199"/>
      <c r="K24" s="217"/>
      <c r="L24" s="389">
        <f>Nonmarketable!O34</f>
        <v>14578.256000000001</v>
      </c>
    </row>
    <row r="25" spans="2:12" ht="19.5" customHeight="1">
      <c r="B25" s="107" t="s">
        <v>294</v>
      </c>
      <c r="D25" s="25"/>
      <c r="E25" s="170" t="s">
        <v>560</v>
      </c>
      <c r="F25" s="397">
        <f>SUM(Nonmarketable!O39)</f>
        <v>1.0529999999999973</v>
      </c>
      <c r="G25" s="206"/>
      <c r="H25" s="170"/>
      <c r="I25" s="121">
        <v>0</v>
      </c>
      <c r="J25" s="199"/>
      <c r="K25" s="217"/>
      <c r="L25" s="389">
        <f>Nonmarketable!O39</f>
        <v>1.0529999999999973</v>
      </c>
    </row>
    <row r="26" spans="2:12" ht="19.5" customHeight="1">
      <c r="B26" s="107" t="s">
        <v>295</v>
      </c>
      <c r="D26" s="25"/>
      <c r="E26" s="170" t="s">
        <v>560</v>
      </c>
      <c r="F26" s="397">
        <f>SUM(Nonmarketable!O51)</f>
        <v>141053.0629999999</v>
      </c>
      <c r="G26" s="206"/>
      <c r="H26" s="170"/>
      <c r="I26" s="121">
        <v>0</v>
      </c>
      <c r="J26" s="199"/>
      <c r="K26" s="217"/>
      <c r="L26" s="389">
        <f>Nonmarketable!O51</f>
        <v>141053.0629999999</v>
      </c>
    </row>
    <row r="27" spans="2:12" ht="19.5" customHeight="1">
      <c r="B27" s="107" t="s">
        <v>299</v>
      </c>
      <c r="D27" s="25"/>
      <c r="E27" s="170" t="s">
        <v>560</v>
      </c>
      <c r="F27" s="397">
        <f>Nonmarketable!O70</f>
        <v>191962.28300000002</v>
      </c>
      <c r="G27" s="206"/>
      <c r="H27" s="170"/>
      <c r="I27" s="121">
        <v>0</v>
      </c>
      <c r="J27" s="199"/>
      <c r="K27" s="217"/>
      <c r="L27" s="389">
        <f>Nonmarketable!O70</f>
        <v>191962.28300000002</v>
      </c>
    </row>
    <row r="28" spans="2:12" ht="19.5" customHeight="1">
      <c r="B28" s="107" t="s">
        <v>300</v>
      </c>
      <c r="D28" s="25"/>
      <c r="E28" s="170" t="s">
        <v>560</v>
      </c>
      <c r="F28" s="397">
        <f>GAS!L42</f>
        <v>43268.632000000005</v>
      </c>
      <c r="G28" s="206"/>
      <c r="H28" s="282"/>
      <c r="I28" s="121">
        <f>GAS!L256</f>
        <v>2546397.0429999996</v>
      </c>
      <c r="J28" s="199"/>
      <c r="K28" s="217"/>
      <c r="L28" s="389">
        <f>GAS!L257</f>
        <v>2589664.675</v>
      </c>
    </row>
    <row r="29" spans="2:12" ht="19.5" customHeight="1">
      <c r="B29" s="107" t="s">
        <v>302</v>
      </c>
      <c r="D29" s="25"/>
      <c r="E29" s="170" t="s">
        <v>560</v>
      </c>
      <c r="F29" s="400">
        <f>SUM(GAS!L272)</f>
        <v>3751.351</v>
      </c>
      <c r="G29" s="206"/>
      <c r="H29" s="170"/>
      <c r="I29" s="122">
        <v>0</v>
      </c>
      <c r="J29" s="199"/>
      <c r="K29" s="278"/>
      <c r="L29" s="271">
        <f>GAS!L272</f>
        <v>3751.351</v>
      </c>
    </row>
    <row r="30" spans="1:12" s="75" customFormat="1" ht="21.75" thickBot="1">
      <c r="A30" s="155" t="s">
        <v>303</v>
      </c>
      <c r="D30" s="200"/>
      <c r="E30" s="204" t="s">
        <v>560</v>
      </c>
      <c r="F30" s="398">
        <f>SUM(F23:F29)</f>
        <v>424609.81799999997</v>
      </c>
      <c r="G30" s="208"/>
      <c r="H30" s="202"/>
      <c r="I30" s="264">
        <f>SUM(I23:I29)</f>
        <v>2546397.0429999996</v>
      </c>
      <c r="J30" s="200"/>
      <c r="K30" s="277"/>
      <c r="L30" s="398">
        <f>GAS!L274</f>
        <v>2971006.8609999996</v>
      </c>
    </row>
    <row r="31" spans="4:12" ht="15.75" thickTop="1">
      <c r="D31" s="25"/>
      <c r="E31" s="14"/>
      <c r="F31" s="399"/>
      <c r="G31" s="25"/>
      <c r="H31" s="14"/>
      <c r="I31" s="402"/>
      <c r="J31" s="25"/>
      <c r="K31" s="14"/>
      <c r="L31" s="399"/>
    </row>
    <row r="32" spans="1:13" s="75" customFormat="1" ht="20.25">
      <c r="A32" s="284" t="s">
        <v>304</v>
      </c>
      <c r="B32" s="285"/>
      <c r="C32" s="285"/>
      <c r="D32" s="286"/>
      <c r="E32" s="205" t="s">
        <v>560</v>
      </c>
      <c r="F32" s="401">
        <f>F20+F30</f>
        <v>3444137.2120000003</v>
      </c>
      <c r="G32" s="209"/>
      <c r="H32" s="203"/>
      <c r="I32" s="401">
        <f>+I20+I30</f>
        <v>2561895.354</v>
      </c>
      <c r="J32" s="201"/>
      <c r="K32" s="216"/>
      <c r="L32" s="401">
        <f>GAS!L276</f>
        <v>6006031.546</v>
      </c>
      <c r="M32" s="270"/>
    </row>
    <row r="33" spans="1:13" ht="46.5" customHeight="1">
      <c r="A33" s="467" t="s">
        <v>10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34" spans="1:13" ht="17.25" customHeight="1">
      <c r="A34" s="456" t="s">
        <v>774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</row>
    <row r="35" spans="1:13" ht="20.25">
      <c r="A35" s="210"/>
      <c r="B35" s="210"/>
      <c r="C35" s="210"/>
      <c r="D35" s="210"/>
      <c r="E35" s="458" t="s">
        <v>460</v>
      </c>
      <c r="F35" s="459"/>
      <c r="G35" s="459"/>
      <c r="H35" s="460"/>
      <c r="I35" s="460"/>
      <c r="J35" s="461"/>
      <c r="K35" s="265"/>
      <c r="L35" s="265"/>
      <c r="M35" s="126"/>
    </row>
    <row r="36" spans="1:13" ht="20.25">
      <c r="A36" s="453"/>
      <c r="B36" s="453"/>
      <c r="C36" s="453"/>
      <c r="D36" s="449"/>
      <c r="E36" s="447" t="s">
        <v>463</v>
      </c>
      <c r="F36" s="448"/>
      <c r="G36" s="449"/>
      <c r="H36" s="447" t="s">
        <v>461</v>
      </c>
      <c r="I36" s="448"/>
      <c r="J36" s="449"/>
      <c r="K36" s="447" t="s">
        <v>457</v>
      </c>
      <c r="L36" s="455"/>
      <c r="M36" s="455"/>
    </row>
    <row r="37" spans="1:13" ht="20.25">
      <c r="A37" s="223"/>
      <c r="B37" s="223"/>
      <c r="C37" s="223"/>
      <c r="D37" s="224"/>
      <c r="E37" s="450" t="s">
        <v>23</v>
      </c>
      <c r="F37" s="451"/>
      <c r="G37" s="452"/>
      <c r="H37" s="450" t="s">
        <v>462</v>
      </c>
      <c r="I37" s="451"/>
      <c r="J37" s="452"/>
      <c r="K37" s="214"/>
      <c r="L37" s="214"/>
      <c r="M37" s="316"/>
    </row>
    <row r="38" spans="1:13" ht="18">
      <c r="A38" s="107" t="s">
        <v>826</v>
      </c>
      <c r="B38" s="107"/>
      <c r="C38" s="107"/>
      <c r="D38" s="126"/>
      <c r="E38" s="266"/>
      <c r="F38" s="108"/>
      <c r="G38" s="267"/>
      <c r="H38" s="226"/>
      <c r="I38" s="226"/>
      <c r="J38" s="267"/>
      <c r="K38" s="78"/>
      <c r="L38" s="78"/>
      <c r="M38" s="78"/>
    </row>
    <row r="39" spans="1:13" ht="19.5" customHeight="1">
      <c r="A39" s="107"/>
      <c r="B39" s="107" t="s">
        <v>305</v>
      </c>
      <c r="C39" s="107"/>
      <c r="D39" s="126"/>
      <c r="E39" s="225" t="s">
        <v>560</v>
      </c>
      <c r="F39" s="388">
        <f>+F32</f>
        <v>3444137.2120000003</v>
      </c>
      <c r="G39" s="227"/>
      <c r="H39" s="226"/>
      <c r="I39" s="388">
        <f>+I32</f>
        <v>2561895.354</v>
      </c>
      <c r="J39" s="227"/>
      <c r="K39" s="218"/>
      <c r="L39" s="219">
        <f>+L32</f>
        <v>6006031.546</v>
      </c>
      <c r="M39" s="78"/>
    </row>
    <row r="40" spans="1:13" ht="19.5" customHeight="1">
      <c r="A40" s="107"/>
      <c r="B40" s="107" t="s">
        <v>459</v>
      </c>
      <c r="C40" s="107"/>
      <c r="D40" s="126"/>
      <c r="E40" s="225"/>
      <c r="F40" s="389"/>
      <c r="G40" s="227"/>
      <c r="H40" s="226"/>
      <c r="I40" s="389"/>
      <c r="J40" s="227"/>
      <c r="K40" s="107"/>
      <c r="L40" s="219"/>
      <c r="M40" s="78"/>
    </row>
    <row r="41" spans="1:13" ht="19.5" customHeight="1">
      <c r="A41" s="107"/>
      <c r="B41" s="107"/>
      <c r="C41" s="107" t="s">
        <v>306</v>
      </c>
      <c r="D41" s="126"/>
      <c r="E41" s="225" t="s">
        <v>560</v>
      </c>
      <c r="F41" s="389">
        <f>+GAS!L265</f>
        <v>521.235</v>
      </c>
      <c r="G41" s="227"/>
      <c r="H41" s="226"/>
      <c r="I41" s="121">
        <v>0</v>
      </c>
      <c r="J41" s="227"/>
      <c r="K41" s="219"/>
      <c r="L41" s="219">
        <f>SUM(GAS!L265)</f>
        <v>521.235</v>
      </c>
      <c r="M41" s="78"/>
    </row>
    <row r="42" spans="1:13" ht="19.5" customHeight="1">
      <c r="A42" s="107"/>
      <c r="B42" s="107"/>
      <c r="C42" s="107" t="s">
        <v>505</v>
      </c>
      <c r="D42" s="126"/>
      <c r="E42" s="225" t="s">
        <v>560</v>
      </c>
      <c r="F42" s="389">
        <f>55559.076-I42</f>
        <v>36982.968</v>
      </c>
      <c r="G42" s="227"/>
      <c r="H42" s="226"/>
      <c r="I42" s="389">
        <v>18576.108</v>
      </c>
      <c r="J42" s="227"/>
      <c r="K42" s="228"/>
      <c r="L42" s="393">
        <f>F42+I42</f>
        <v>55559.076</v>
      </c>
      <c r="M42" s="78"/>
    </row>
    <row r="43" spans="1:13" ht="19.5" customHeight="1">
      <c r="A43" s="107"/>
      <c r="B43" s="107"/>
      <c r="C43" s="107" t="s">
        <v>307</v>
      </c>
      <c r="D43" s="126"/>
      <c r="E43" s="225" t="s">
        <v>560</v>
      </c>
      <c r="F43" s="122">
        <f>+F19</f>
        <v>0</v>
      </c>
      <c r="G43" s="227"/>
      <c r="H43" s="226"/>
      <c r="I43" s="392">
        <f>+I19</f>
        <v>14999.99</v>
      </c>
      <c r="J43" s="227"/>
      <c r="K43" s="273"/>
      <c r="L43" s="220">
        <f>SUM(Marketable!K293)</f>
        <v>14999.99</v>
      </c>
      <c r="M43" s="78"/>
    </row>
    <row r="44" spans="1:13" ht="19.5" customHeight="1" thickBot="1">
      <c r="A44" s="107"/>
      <c r="B44" s="107" t="s">
        <v>308</v>
      </c>
      <c r="C44" s="107"/>
      <c r="D44" s="126"/>
      <c r="E44" s="225" t="s">
        <v>560</v>
      </c>
      <c r="F44" s="390">
        <f>+F39-F41-F42-F43</f>
        <v>3406633.0090000005</v>
      </c>
      <c r="G44" s="227"/>
      <c r="H44" s="226"/>
      <c r="I44" s="390">
        <f>+I39-I41-I42-I43-1</f>
        <v>2528318.2559999996</v>
      </c>
      <c r="J44" s="227"/>
      <c r="K44" s="274"/>
      <c r="L44" s="394">
        <f>SUM(L39-L41-L42-L43)</f>
        <v>5934951.244999999</v>
      </c>
      <c r="M44" s="78"/>
    </row>
    <row r="45" spans="1:13" ht="18.75" thickTop="1">
      <c r="A45" s="107"/>
      <c r="B45" s="107"/>
      <c r="C45" s="107"/>
      <c r="D45" s="126"/>
      <c r="E45" s="225"/>
      <c r="F45" s="389"/>
      <c r="G45" s="227"/>
      <c r="H45" s="226"/>
      <c r="I45" s="389"/>
      <c r="J45" s="227"/>
      <c r="K45" s="226"/>
      <c r="L45" s="313"/>
      <c r="M45" s="78"/>
    </row>
    <row r="46" spans="1:13" ht="18">
      <c r="A46" s="107"/>
      <c r="B46" s="107" t="s">
        <v>458</v>
      </c>
      <c r="C46" s="107"/>
      <c r="D46" s="126"/>
      <c r="E46" s="225"/>
      <c r="F46" s="389"/>
      <c r="G46" s="227"/>
      <c r="H46" s="226"/>
      <c r="I46" s="389"/>
      <c r="J46" s="227"/>
      <c r="K46" s="226"/>
      <c r="L46" s="313"/>
      <c r="M46" s="78"/>
    </row>
    <row r="47" spans="1:13" ht="21" customHeight="1" thickBot="1">
      <c r="A47" s="107"/>
      <c r="B47" s="107"/>
      <c r="C47" s="107" t="s">
        <v>795</v>
      </c>
      <c r="D47" s="126"/>
      <c r="E47" s="225" t="s">
        <v>560</v>
      </c>
      <c r="F47" s="268">
        <v>156.278</v>
      </c>
      <c r="G47" s="227"/>
      <c r="H47" s="226"/>
      <c r="I47" s="268">
        <v>0</v>
      </c>
      <c r="J47" s="227"/>
      <c r="K47" s="275"/>
      <c r="L47" s="221">
        <f>SUM(F47,I47)</f>
        <v>156.278</v>
      </c>
      <c r="M47" s="78"/>
    </row>
    <row r="48" spans="1:13" ht="18.75" thickTop="1">
      <c r="A48" s="107"/>
      <c r="B48" s="107"/>
      <c r="C48" s="107"/>
      <c r="D48" s="126"/>
      <c r="E48" s="225"/>
      <c r="F48" s="389"/>
      <c r="G48" s="227"/>
      <c r="H48" s="226"/>
      <c r="I48" s="389"/>
      <c r="J48" s="227"/>
      <c r="K48" s="226"/>
      <c r="L48" s="219"/>
      <c r="M48" s="78"/>
    </row>
    <row r="49" spans="1:13" ht="21" thickBot="1">
      <c r="A49" s="210"/>
      <c r="B49" s="215" t="s">
        <v>308</v>
      </c>
      <c r="C49" s="210"/>
      <c r="D49" s="223"/>
      <c r="E49" s="225" t="s">
        <v>560</v>
      </c>
      <c r="F49" s="391">
        <f>+F44+F47</f>
        <v>3406789.2870000005</v>
      </c>
      <c r="G49" s="227"/>
      <c r="H49" s="226"/>
      <c r="I49" s="391">
        <f>+I44+I47</f>
        <v>2528318.2559999996</v>
      </c>
      <c r="J49" s="227"/>
      <c r="K49" s="276"/>
      <c r="L49" s="395">
        <f>SUM(L44+L47)</f>
        <v>5935107.522999999</v>
      </c>
      <c r="M49" s="78"/>
    </row>
    <row r="50" spans="1:13" ht="22.5" thickBot="1" thickTop="1">
      <c r="A50" s="78"/>
      <c r="B50" s="107" t="s">
        <v>314</v>
      </c>
      <c r="C50" s="78"/>
      <c r="D50" s="78"/>
      <c r="E50" s="78"/>
      <c r="F50" s="78"/>
      <c r="G50" s="78"/>
      <c r="H50" s="78"/>
      <c r="I50" s="78"/>
      <c r="J50" s="78"/>
      <c r="K50" s="279" t="s">
        <v>560</v>
      </c>
      <c r="L50" s="396">
        <v>5950000</v>
      </c>
      <c r="M50" s="78"/>
    </row>
    <row r="51" spans="1:13" ht="18.75" thickTop="1">
      <c r="A51" s="316"/>
      <c r="B51" s="222" t="s">
        <v>315</v>
      </c>
      <c r="C51" s="316"/>
      <c r="D51" s="316"/>
      <c r="E51" s="316"/>
      <c r="F51" s="316"/>
      <c r="G51" s="316"/>
      <c r="H51" s="316"/>
      <c r="I51" s="316"/>
      <c r="J51" s="316"/>
      <c r="K51" s="280" t="s">
        <v>560</v>
      </c>
      <c r="L51" s="220">
        <f>SUM(L50-L49)</f>
        <v>14892.477000000887</v>
      </c>
      <c r="M51" s="316"/>
    </row>
    <row r="52" spans="1:13" ht="1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3" ht="1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ht="1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ht="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ht="26.25" customHeight="1">
      <c r="A57" s="454" t="s">
        <v>570</v>
      </c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</row>
    <row r="58" spans="1:13" ht="26.25" customHeight="1">
      <c r="A58" s="454" t="s">
        <v>572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</row>
    <row r="59" spans="1:13" ht="15" customHeight="1">
      <c r="A59" s="436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</row>
    <row r="60" spans="1:13" ht="1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ht="15.75">
      <c r="A61" s="443" t="s">
        <v>585</v>
      </c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</row>
    <row r="62" spans="1:13" ht="18">
      <c r="A62" s="445" t="s">
        <v>586</v>
      </c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</row>
  </sheetData>
  <mergeCells count="26">
    <mergeCell ref="A9:M9"/>
    <mergeCell ref="A1:M1"/>
    <mergeCell ref="A2:M2"/>
    <mergeCell ref="A4:M4"/>
    <mergeCell ref="A5:M5"/>
    <mergeCell ref="E10:J10"/>
    <mergeCell ref="K11:M11"/>
    <mergeCell ref="A33:M33"/>
    <mergeCell ref="H11:J11"/>
    <mergeCell ref="H12:J12"/>
    <mergeCell ref="A58:M58"/>
    <mergeCell ref="K36:M36"/>
    <mergeCell ref="A34:M34"/>
    <mergeCell ref="A57:M57"/>
    <mergeCell ref="E35:J35"/>
    <mergeCell ref="E36:G36"/>
    <mergeCell ref="A61:M61"/>
    <mergeCell ref="A62:M62"/>
    <mergeCell ref="A7:M7"/>
    <mergeCell ref="E11:G11"/>
    <mergeCell ref="E12:G12"/>
    <mergeCell ref="A11:D11"/>
    <mergeCell ref="A36:D36"/>
    <mergeCell ref="H36:J36"/>
    <mergeCell ref="E37:G37"/>
    <mergeCell ref="H37:J37"/>
  </mergeCells>
  <printOptions horizontalCentered="1" verticalCentered="1"/>
  <pageMargins left="0.25" right="0.25" top="0.4" bottom="0.3" header="0" footer="0"/>
  <pageSetup horizontalDpi="600" verticalDpi="600" orientation="portrait" scale="59" r:id="rId1"/>
  <rowBreaks count="1" manualBreakCount="1">
    <brk id="62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345"/>
  <sheetViews>
    <sheetView showGridLines="0" view="pageBreakPreview" zoomScale="60" zoomScaleNormal="75" workbookViewId="0" topLeftCell="A276">
      <selection activeCell="K88" sqref="K88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3.445312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1.77734375" style="48" customWidth="1"/>
    <col min="11" max="11" width="13.886718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7.21484375" style="0" customWidth="1"/>
  </cols>
  <sheetData>
    <row r="1" spans="1:16" ht="16.5" customHeight="1">
      <c r="A1" s="7">
        <v>2</v>
      </c>
      <c r="B1" s="2" t="s">
        <v>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6"/>
    </row>
    <row r="2" spans="1:16" ht="10.5" customHeight="1" thickBot="1">
      <c r="A2" s="30"/>
      <c r="B2" s="30"/>
      <c r="C2" s="30"/>
      <c r="I2" s="31"/>
      <c r="P2" s="7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67"/>
      <c r="K3" s="26"/>
      <c r="L3" s="32"/>
      <c r="M3" s="32"/>
      <c r="N3" s="32"/>
      <c r="O3" s="32"/>
      <c r="P3" s="32"/>
    </row>
    <row r="4" spans="3:16" ht="15.75" customHeight="1">
      <c r="C4" s="90"/>
      <c r="G4" s="16" t="s">
        <v>587</v>
      </c>
      <c r="H4" s="16" t="s">
        <v>588</v>
      </c>
      <c r="I4" s="29"/>
      <c r="J4" s="34" t="s">
        <v>589</v>
      </c>
      <c r="K4" s="16" t="s">
        <v>590</v>
      </c>
      <c r="L4" s="3"/>
      <c r="M4" s="3"/>
      <c r="N4" s="3"/>
      <c r="O4" s="3"/>
      <c r="P4" s="3"/>
    </row>
    <row r="5" spans="1:11" ht="15.75" customHeight="1">
      <c r="A5" s="3" t="s">
        <v>591</v>
      </c>
      <c r="B5" s="3"/>
      <c r="C5" s="3"/>
      <c r="D5" s="3"/>
      <c r="E5" s="3"/>
      <c r="F5" s="3"/>
      <c r="G5" s="16" t="s">
        <v>592</v>
      </c>
      <c r="H5" s="16" t="s">
        <v>593</v>
      </c>
      <c r="I5" s="29"/>
      <c r="J5" s="34" t="s">
        <v>594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61"/>
      <c r="K6" s="37" t="s">
        <v>595</v>
      </c>
      <c r="L6" s="38"/>
      <c r="M6" s="37" t="s">
        <v>596</v>
      </c>
      <c r="N6" s="38"/>
      <c r="O6" s="37" t="s">
        <v>563</v>
      </c>
      <c r="P6" s="38"/>
    </row>
    <row r="7" spans="1:16" ht="15.75" customHeight="1">
      <c r="A7" s="63"/>
      <c r="B7" s="63"/>
      <c r="C7" s="63"/>
      <c r="D7" s="63"/>
      <c r="E7" s="63"/>
      <c r="F7" s="63"/>
      <c r="G7" s="14"/>
      <c r="H7" s="14"/>
      <c r="I7" s="98"/>
      <c r="J7" s="34"/>
      <c r="K7" s="16"/>
      <c r="L7" s="99"/>
      <c r="M7" s="16"/>
      <c r="N7" s="99"/>
      <c r="O7" s="16"/>
      <c r="P7" s="99"/>
    </row>
    <row r="8" spans="1:16" ht="18">
      <c r="A8" s="23" t="s">
        <v>565</v>
      </c>
      <c r="B8" s="23"/>
      <c r="C8" s="22"/>
      <c r="G8" s="18"/>
      <c r="H8" s="18"/>
      <c r="I8" s="39"/>
      <c r="J8" s="68"/>
      <c r="K8" s="40"/>
      <c r="L8" s="21"/>
      <c r="M8" s="14"/>
      <c r="O8" s="40"/>
      <c r="P8" s="41"/>
    </row>
    <row r="9" spans="2:16" ht="19.5">
      <c r="B9" s="9" t="s">
        <v>598</v>
      </c>
      <c r="F9" s="159" t="s">
        <v>796</v>
      </c>
      <c r="G9" s="18"/>
      <c r="H9" s="18"/>
      <c r="I9" s="39"/>
      <c r="J9" s="68"/>
      <c r="K9" s="14"/>
      <c r="M9" s="14"/>
      <c r="O9" s="47"/>
      <c r="P9" s="21"/>
    </row>
    <row r="10" spans="2:16" ht="17.25" customHeight="1">
      <c r="B10" s="9" t="s">
        <v>599</v>
      </c>
      <c r="E10" s="9" t="s">
        <v>600</v>
      </c>
      <c r="F10" s="9"/>
      <c r="G10" s="18"/>
      <c r="H10" s="18"/>
      <c r="I10" s="39"/>
      <c r="J10" s="68"/>
      <c r="K10" s="14"/>
      <c r="M10" s="14"/>
      <c r="O10" s="47"/>
      <c r="P10" s="21"/>
    </row>
    <row r="11" spans="3:16" ht="15.75" customHeight="1">
      <c r="C11" s="43" t="s">
        <v>13</v>
      </c>
      <c r="D11" s="44"/>
      <c r="E11" s="128">
        <v>2.325</v>
      </c>
      <c r="G11" s="157">
        <v>37168</v>
      </c>
      <c r="H11" s="127">
        <v>37350</v>
      </c>
      <c r="I11" s="307"/>
      <c r="J11" s="197">
        <v>37350</v>
      </c>
      <c r="K11" s="40">
        <v>15169.572</v>
      </c>
      <c r="L11" s="21"/>
      <c r="M11" s="47" t="s">
        <v>601</v>
      </c>
      <c r="N11" s="27"/>
      <c r="O11" s="40">
        <f>K11+K12+K13</f>
        <v>57415.606</v>
      </c>
      <c r="P11" s="21"/>
    </row>
    <row r="12" spans="3:16" ht="15.75" customHeight="1">
      <c r="C12" s="43"/>
      <c r="D12" s="44"/>
      <c r="E12" s="128">
        <v>1.071</v>
      </c>
      <c r="G12" s="157">
        <v>37259</v>
      </c>
      <c r="H12" s="127"/>
      <c r="I12" s="307"/>
      <c r="J12" s="197"/>
      <c r="K12" s="40">
        <v>18497.114</v>
      </c>
      <c r="L12" s="21"/>
      <c r="M12" s="47"/>
      <c r="N12" s="27"/>
      <c r="O12" s="40"/>
      <c r="P12" s="21"/>
    </row>
    <row r="13" spans="3:16" ht="15.75" customHeight="1">
      <c r="C13" s="43"/>
      <c r="D13" s="44"/>
      <c r="E13" s="128">
        <v>1.75</v>
      </c>
      <c r="G13" s="157">
        <v>37322</v>
      </c>
      <c r="H13" s="127"/>
      <c r="I13" s="307"/>
      <c r="J13" s="197"/>
      <c r="K13" s="40">
        <v>23748.92</v>
      </c>
      <c r="L13" s="21"/>
      <c r="M13" s="47"/>
      <c r="N13" s="27"/>
      <c r="O13" s="40"/>
      <c r="P13" s="21"/>
    </row>
    <row r="14" spans="3:16" ht="15.75" customHeight="1">
      <c r="C14" s="43" t="s">
        <v>757</v>
      </c>
      <c r="D14" s="44"/>
      <c r="E14" s="128">
        <v>2.15</v>
      </c>
      <c r="G14" s="157">
        <v>37175</v>
      </c>
      <c r="H14" s="127">
        <v>37357</v>
      </c>
      <c r="I14" s="307"/>
      <c r="J14" s="197">
        <v>37357</v>
      </c>
      <c r="K14" s="40">
        <v>15281.811</v>
      </c>
      <c r="L14" s="21"/>
      <c r="M14" s="47" t="s">
        <v>601</v>
      </c>
      <c r="N14" s="27"/>
      <c r="O14" s="40">
        <f>K14+K15+K16</f>
        <v>55936.853</v>
      </c>
      <c r="P14" s="21"/>
    </row>
    <row r="15" spans="3:16" ht="15.75" customHeight="1">
      <c r="C15" s="43"/>
      <c r="D15" s="44"/>
      <c r="E15" s="128">
        <v>1.655</v>
      </c>
      <c r="G15" s="157">
        <v>37266</v>
      </c>
      <c r="H15" s="127"/>
      <c r="I15" s="307"/>
      <c r="J15" s="197"/>
      <c r="K15" s="40">
        <v>15554.86</v>
      </c>
      <c r="L15" s="21"/>
      <c r="M15" s="47"/>
      <c r="N15" s="27"/>
      <c r="O15" s="40"/>
      <c r="P15" s="21"/>
    </row>
    <row r="16" spans="3:16" ht="15.75" customHeight="1">
      <c r="C16" s="43"/>
      <c r="D16" s="44"/>
      <c r="E16" s="128">
        <v>1.77</v>
      </c>
      <c r="G16" s="157">
        <v>37329</v>
      </c>
      <c r="H16" s="127"/>
      <c r="I16" s="307"/>
      <c r="J16" s="197"/>
      <c r="K16" s="40">
        <v>25100.182</v>
      </c>
      <c r="L16" s="21"/>
      <c r="M16" s="47"/>
      <c r="N16" s="27"/>
      <c r="O16" s="40"/>
      <c r="P16" s="21"/>
    </row>
    <row r="17" spans="3:16" ht="15.75" customHeight="1">
      <c r="C17" s="43" t="s">
        <v>756</v>
      </c>
      <c r="D17" s="44"/>
      <c r="E17" s="128">
        <v>2.16</v>
      </c>
      <c r="G17" s="157">
        <v>37182</v>
      </c>
      <c r="H17" s="127">
        <v>37364</v>
      </c>
      <c r="I17" s="307"/>
      <c r="J17" s="197">
        <v>37364</v>
      </c>
      <c r="K17" s="40">
        <v>16561.563</v>
      </c>
      <c r="L17" s="21"/>
      <c r="M17" s="47" t="s">
        <v>601</v>
      </c>
      <c r="N17" s="27"/>
      <c r="O17" s="40">
        <f>K17+K18+K19</f>
        <v>54063.32699999999</v>
      </c>
      <c r="P17" s="21"/>
    </row>
    <row r="18" spans="3:16" ht="15.75" customHeight="1">
      <c r="C18" s="43"/>
      <c r="D18" s="44"/>
      <c r="E18" s="128">
        <v>1.53</v>
      </c>
      <c r="G18" s="157">
        <v>37273</v>
      </c>
      <c r="H18" s="127"/>
      <c r="I18" s="307"/>
      <c r="J18" s="197"/>
      <c r="K18" s="40">
        <v>16832.674</v>
      </c>
      <c r="L18" s="21"/>
      <c r="M18" s="47"/>
      <c r="N18" s="27"/>
      <c r="O18" s="40"/>
      <c r="P18" s="21"/>
    </row>
    <row r="19" spans="3:16" ht="15.75" customHeight="1">
      <c r="C19" s="43"/>
      <c r="D19" s="44"/>
      <c r="E19" s="128">
        <v>1.78</v>
      </c>
      <c r="G19" s="157">
        <v>37336</v>
      </c>
      <c r="H19" s="127"/>
      <c r="I19" s="307"/>
      <c r="J19" s="197"/>
      <c r="K19" s="40">
        <v>20669.09</v>
      </c>
      <c r="L19" s="21"/>
      <c r="M19" s="47"/>
      <c r="N19" s="27"/>
      <c r="O19" s="40"/>
      <c r="P19" s="21"/>
    </row>
    <row r="20" spans="3:16" ht="15.75" customHeight="1">
      <c r="C20" s="43" t="s">
        <v>755</v>
      </c>
      <c r="D20" s="44"/>
      <c r="E20" s="128">
        <v>2.13</v>
      </c>
      <c r="G20" s="157">
        <v>37189</v>
      </c>
      <c r="H20" s="127">
        <v>37371</v>
      </c>
      <c r="I20" s="307"/>
      <c r="J20" s="197">
        <v>37371</v>
      </c>
      <c r="K20" s="40">
        <v>17754.083</v>
      </c>
      <c r="L20" s="21"/>
      <c r="M20" s="47" t="s">
        <v>601</v>
      </c>
      <c r="N20" s="27"/>
      <c r="O20" s="40">
        <f>K20+K21+K22</f>
        <v>58886.035</v>
      </c>
      <c r="P20" s="21"/>
    </row>
    <row r="21" spans="3:16" ht="15.75" customHeight="1">
      <c r="C21" s="43"/>
      <c r="D21" s="44"/>
      <c r="E21" s="128">
        <v>1.67</v>
      </c>
      <c r="G21" s="157">
        <v>37280</v>
      </c>
      <c r="H21" s="127"/>
      <c r="I21" s="307"/>
      <c r="J21" s="197"/>
      <c r="K21" s="40">
        <v>18823.381</v>
      </c>
      <c r="L21" s="21"/>
      <c r="M21" s="47"/>
      <c r="N21" s="27"/>
      <c r="O21" s="40"/>
      <c r="P21" s="21"/>
    </row>
    <row r="22" spans="3:16" ht="15.75" customHeight="1">
      <c r="C22" s="43"/>
      <c r="D22" s="44"/>
      <c r="E22" s="128">
        <v>1.77</v>
      </c>
      <c r="G22" s="157">
        <v>37343</v>
      </c>
      <c r="H22" s="127"/>
      <c r="I22" s="307"/>
      <c r="J22" s="197"/>
      <c r="K22" s="40">
        <v>22308.571</v>
      </c>
      <c r="L22" s="21"/>
      <c r="M22" s="47"/>
      <c r="N22" s="27"/>
      <c r="O22" s="40"/>
      <c r="P22" s="21"/>
    </row>
    <row r="23" spans="3:16" ht="15.75" customHeight="1">
      <c r="C23" s="43" t="s">
        <v>776</v>
      </c>
      <c r="D23" s="44"/>
      <c r="E23" s="128">
        <v>2.054</v>
      </c>
      <c r="G23" s="157">
        <v>37196</v>
      </c>
      <c r="H23" s="127">
        <v>37378</v>
      </c>
      <c r="I23" s="307"/>
      <c r="J23" s="197">
        <v>37378</v>
      </c>
      <c r="K23" s="40">
        <v>18897.131</v>
      </c>
      <c r="L23" s="21"/>
      <c r="M23" s="47" t="s">
        <v>601</v>
      </c>
      <c r="N23" s="27"/>
      <c r="O23" s="40">
        <f>K23+K24</f>
        <v>38910.34</v>
      </c>
      <c r="P23" s="21"/>
    </row>
    <row r="24" spans="3:16" ht="15.75" customHeight="1">
      <c r="C24" s="43"/>
      <c r="D24" s="44"/>
      <c r="E24" s="128">
        <v>1.715</v>
      </c>
      <c r="G24" s="157">
        <v>37287</v>
      </c>
      <c r="H24" s="127"/>
      <c r="I24" s="307"/>
      <c r="J24" s="197"/>
      <c r="K24" s="40">
        <v>20013.209</v>
      </c>
      <c r="L24" s="21"/>
      <c r="M24" s="47"/>
      <c r="N24" s="27"/>
      <c r="O24" s="40"/>
      <c r="P24" s="21"/>
    </row>
    <row r="25" spans="3:16" ht="15.75" customHeight="1">
      <c r="C25" s="43" t="s">
        <v>777</v>
      </c>
      <c r="D25" s="44"/>
      <c r="E25" s="128">
        <v>1.966</v>
      </c>
      <c r="G25" s="157">
        <v>37203</v>
      </c>
      <c r="H25" s="127">
        <v>37385</v>
      </c>
      <c r="I25" s="307"/>
      <c r="J25" s="197">
        <v>37385</v>
      </c>
      <c r="K25" s="40">
        <v>20370.336</v>
      </c>
      <c r="L25" s="21"/>
      <c r="M25" s="47" t="s">
        <v>601</v>
      </c>
      <c r="N25" s="27"/>
      <c r="O25" s="40">
        <f>K25+K26</f>
        <v>41256.25</v>
      </c>
      <c r="P25" s="21"/>
    </row>
    <row r="26" spans="3:16" ht="15.75" customHeight="1">
      <c r="C26" s="43"/>
      <c r="D26" s="44"/>
      <c r="E26" s="128">
        <v>1.735</v>
      </c>
      <c r="G26" s="157">
        <v>37294</v>
      </c>
      <c r="H26" s="127"/>
      <c r="I26" s="307"/>
      <c r="J26" s="197"/>
      <c r="K26" s="40">
        <v>20885.914</v>
      </c>
      <c r="L26" s="21"/>
      <c r="M26" s="47"/>
      <c r="N26" s="27"/>
      <c r="O26" s="40"/>
      <c r="P26" s="21"/>
    </row>
    <row r="27" spans="3:16" ht="15.75" customHeight="1">
      <c r="C27" s="43" t="s">
        <v>779</v>
      </c>
      <c r="D27" s="44"/>
      <c r="E27" s="128">
        <v>1.862</v>
      </c>
      <c r="G27" s="157">
        <v>37210</v>
      </c>
      <c r="H27" s="127">
        <v>37392</v>
      </c>
      <c r="I27" s="307"/>
      <c r="J27" s="197">
        <v>37392</v>
      </c>
      <c r="K27" s="40">
        <v>21433.133</v>
      </c>
      <c r="L27" s="21"/>
      <c r="M27" s="47" t="s">
        <v>601</v>
      </c>
      <c r="N27" s="27"/>
      <c r="O27" s="40">
        <f>K27+K28</f>
        <v>42884.12300000001</v>
      </c>
      <c r="P27" s="21"/>
    </row>
    <row r="28" spans="3:16" ht="15.75" customHeight="1">
      <c r="C28" s="43"/>
      <c r="D28" s="44"/>
      <c r="E28" s="128">
        <v>1.715</v>
      </c>
      <c r="G28" s="157">
        <v>37301</v>
      </c>
      <c r="H28" s="127"/>
      <c r="I28" s="307"/>
      <c r="J28" s="197"/>
      <c r="K28" s="40">
        <v>21450.99</v>
      </c>
      <c r="L28" s="21"/>
      <c r="M28" s="47"/>
      <c r="N28" s="27"/>
      <c r="O28" s="40"/>
      <c r="P28" s="21"/>
    </row>
    <row r="29" spans="3:16" ht="15.75" customHeight="1">
      <c r="C29" s="43" t="s">
        <v>780</v>
      </c>
      <c r="D29" s="44"/>
      <c r="E29" s="128">
        <v>2.006</v>
      </c>
      <c r="G29" s="157">
        <v>37218</v>
      </c>
      <c r="H29" s="127">
        <v>37399</v>
      </c>
      <c r="I29" s="307"/>
      <c r="J29" s="197">
        <v>37399</v>
      </c>
      <c r="K29" s="40">
        <v>21404.708</v>
      </c>
      <c r="L29" s="21"/>
      <c r="M29" s="47" t="s">
        <v>601</v>
      </c>
      <c r="N29" s="27"/>
      <c r="O29" s="40">
        <f>K29+K30</f>
        <v>43180.666</v>
      </c>
      <c r="P29" s="21"/>
    </row>
    <row r="30" spans="3:16" ht="15.75" customHeight="1">
      <c r="C30" s="43"/>
      <c r="D30" s="44"/>
      <c r="E30" s="128">
        <v>1.73</v>
      </c>
      <c r="G30" s="157">
        <v>37308</v>
      </c>
      <c r="H30" s="127"/>
      <c r="I30" s="307"/>
      <c r="J30" s="197"/>
      <c r="K30" s="40">
        <v>21775.958</v>
      </c>
      <c r="L30" s="21"/>
      <c r="M30" s="47"/>
      <c r="N30" s="27"/>
      <c r="O30" s="40"/>
      <c r="P30" s="21"/>
    </row>
    <row r="31" spans="3:16" ht="15.75" customHeight="1">
      <c r="C31" s="43" t="s">
        <v>804</v>
      </c>
      <c r="D31" s="44"/>
      <c r="E31" s="128">
        <v>2.038</v>
      </c>
      <c r="G31" s="157">
        <v>37224</v>
      </c>
      <c r="H31" s="127">
        <v>37406</v>
      </c>
      <c r="I31" s="307"/>
      <c r="J31" s="197">
        <v>37406</v>
      </c>
      <c r="K31" s="40">
        <v>22011.49</v>
      </c>
      <c r="L31" s="21"/>
      <c r="M31" s="47" t="s">
        <v>601</v>
      </c>
      <c r="N31" s="27"/>
      <c r="O31" s="40">
        <f>K31+K32</f>
        <v>43769.293000000005</v>
      </c>
      <c r="P31" s="21"/>
    </row>
    <row r="32" spans="3:16" ht="15.75" customHeight="1">
      <c r="C32" s="43"/>
      <c r="D32" s="44"/>
      <c r="E32" s="128">
        <v>1.735</v>
      </c>
      <c r="G32" s="157">
        <v>37315</v>
      </c>
      <c r="H32" s="127"/>
      <c r="I32" s="307"/>
      <c r="J32" s="197"/>
      <c r="K32" s="40">
        <v>21757.803</v>
      </c>
      <c r="L32" s="21"/>
      <c r="M32" s="47"/>
      <c r="N32" s="27"/>
      <c r="O32" s="40"/>
      <c r="P32" s="21"/>
    </row>
    <row r="33" spans="3:16" ht="15.75" customHeight="1">
      <c r="C33" s="43" t="s">
        <v>7</v>
      </c>
      <c r="D33" s="44"/>
      <c r="E33" s="128">
        <v>1.805</v>
      </c>
      <c r="G33" s="157">
        <v>37231</v>
      </c>
      <c r="H33" s="127">
        <v>37413</v>
      </c>
      <c r="I33" s="307"/>
      <c r="J33" s="197">
        <v>37413</v>
      </c>
      <c r="K33" s="40">
        <v>21441.138</v>
      </c>
      <c r="L33" s="21"/>
      <c r="M33" s="47" t="s">
        <v>601</v>
      </c>
      <c r="N33" s="27"/>
      <c r="O33" s="40">
        <f>K33+K34</f>
        <v>40594.538</v>
      </c>
      <c r="P33" s="21"/>
    </row>
    <row r="34" spans="3:16" ht="15.75" customHeight="1">
      <c r="C34" s="43"/>
      <c r="D34" s="44"/>
      <c r="E34" s="128">
        <v>1.76</v>
      </c>
      <c r="G34" s="157">
        <v>37322</v>
      </c>
      <c r="H34" s="127"/>
      <c r="I34" s="307"/>
      <c r="J34" s="197"/>
      <c r="K34" s="40">
        <v>19153.4</v>
      </c>
      <c r="L34" s="21"/>
      <c r="M34" s="47"/>
      <c r="N34" s="27"/>
      <c r="O34" s="40"/>
      <c r="P34" s="21"/>
    </row>
    <row r="35" spans="3:16" ht="15.75" customHeight="1">
      <c r="C35" s="43" t="s">
        <v>428</v>
      </c>
      <c r="D35" s="44"/>
      <c r="E35" s="128">
        <v>1.805</v>
      </c>
      <c r="G35" s="157">
        <v>37238</v>
      </c>
      <c r="H35" s="127">
        <v>37420</v>
      </c>
      <c r="I35" s="307"/>
      <c r="J35" s="197">
        <v>37420</v>
      </c>
      <c r="K35" s="40">
        <v>21516.42</v>
      </c>
      <c r="L35" s="21"/>
      <c r="M35" s="47" t="s">
        <v>601</v>
      </c>
      <c r="N35" s="27"/>
      <c r="O35" s="40">
        <f>K35+K36</f>
        <v>39301.92</v>
      </c>
      <c r="P35" s="21"/>
    </row>
    <row r="36" spans="3:16" ht="15.75" customHeight="1">
      <c r="C36" s="43"/>
      <c r="D36" s="44"/>
      <c r="E36" s="128">
        <v>1.825</v>
      </c>
      <c r="G36" s="157">
        <v>37329</v>
      </c>
      <c r="H36" s="127"/>
      <c r="I36" s="307"/>
      <c r="J36" s="197"/>
      <c r="K36" s="40">
        <v>17785.5</v>
      </c>
      <c r="L36" s="21"/>
      <c r="M36" s="47"/>
      <c r="N36" s="27"/>
      <c r="O36" s="40"/>
      <c r="P36" s="21"/>
    </row>
    <row r="37" spans="3:16" ht="15.75" customHeight="1">
      <c r="C37" s="43" t="s">
        <v>545</v>
      </c>
      <c r="D37" s="44"/>
      <c r="E37" s="128">
        <v>1.883</v>
      </c>
      <c r="G37" s="157">
        <v>37245</v>
      </c>
      <c r="H37" s="127">
        <v>37427</v>
      </c>
      <c r="I37" s="307"/>
      <c r="J37" s="197">
        <v>37427</v>
      </c>
      <c r="K37" s="40">
        <v>20185.714</v>
      </c>
      <c r="L37" s="21"/>
      <c r="M37" s="47" t="s">
        <v>601</v>
      </c>
      <c r="N37" s="27"/>
      <c r="O37" s="40">
        <f>K37+K38</f>
        <v>38026.827000000005</v>
      </c>
      <c r="P37" s="21"/>
    </row>
    <row r="38" spans="3:16" ht="15.75" customHeight="1">
      <c r="C38" s="43"/>
      <c r="D38" s="44"/>
      <c r="E38" s="128">
        <v>1.84</v>
      </c>
      <c r="G38" s="157">
        <v>37336</v>
      </c>
      <c r="H38" s="127"/>
      <c r="I38" s="307"/>
      <c r="J38" s="197"/>
      <c r="K38" s="40">
        <v>17841.113</v>
      </c>
      <c r="L38" s="21"/>
      <c r="M38" s="47"/>
      <c r="N38" s="27"/>
      <c r="O38" s="40"/>
      <c r="P38" s="21"/>
    </row>
    <row r="39" spans="3:16" ht="15.75" customHeight="1">
      <c r="C39" s="43" t="s">
        <v>566</v>
      </c>
      <c r="D39" s="44"/>
      <c r="E39" s="128">
        <v>1.893</v>
      </c>
      <c r="G39" s="157">
        <v>37252</v>
      </c>
      <c r="H39" s="127">
        <v>37434</v>
      </c>
      <c r="I39" s="307"/>
      <c r="J39" s="197">
        <v>37434</v>
      </c>
      <c r="K39" s="40">
        <v>20340.678</v>
      </c>
      <c r="L39" s="21"/>
      <c r="M39" s="47" t="s">
        <v>601</v>
      </c>
      <c r="N39" s="27"/>
      <c r="O39" s="40">
        <f>K39+K40</f>
        <v>37497.694</v>
      </c>
      <c r="P39" s="21"/>
    </row>
    <row r="40" spans="3:16" ht="15.75" customHeight="1">
      <c r="C40" s="43"/>
      <c r="D40" s="44"/>
      <c r="E40" s="128">
        <v>1.82</v>
      </c>
      <c r="G40" s="157">
        <v>37343</v>
      </c>
      <c r="H40" s="127"/>
      <c r="I40" s="307"/>
      <c r="J40" s="197"/>
      <c r="K40" s="40">
        <v>17157.016</v>
      </c>
      <c r="L40" s="21"/>
      <c r="M40" s="47"/>
      <c r="N40" s="27"/>
      <c r="O40" s="40"/>
      <c r="P40" s="21"/>
    </row>
    <row r="41" spans="3:16" ht="15.75" customHeight="1">
      <c r="C41" s="43" t="s">
        <v>40</v>
      </c>
      <c r="D41" s="44"/>
      <c r="E41" s="128">
        <v>1.8</v>
      </c>
      <c r="G41" s="157">
        <v>37259</v>
      </c>
      <c r="H41" s="127">
        <v>37442</v>
      </c>
      <c r="I41" s="307"/>
      <c r="J41" s="197">
        <v>37442</v>
      </c>
      <c r="K41" s="40">
        <v>22736.953</v>
      </c>
      <c r="L41" s="21"/>
      <c r="M41" s="47" t="s">
        <v>601</v>
      </c>
      <c r="N41" s="27"/>
      <c r="O41" s="40">
        <f>K41</f>
        <v>22736.953</v>
      </c>
      <c r="P41" s="21"/>
    </row>
    <row r="42" spans="3:16" ht="15.75" customHeight="1">
      <c r="C42" s="43" t="s">
        <v>41</v>
      </c>
      <c r="D42" s="44"/>
      <c r="E42" s="128">
        <v>1.75</v>
      </c>
      <c r="G42" s="157">
        <v>37266</v>
      </c>
      <c r="H42" s="127">
        <v>37448</v>
      </c>
      <c r="I42" s="307"/>
      <c r="J42" s="197">
        <v>37448</v>
      </c>
      <c r="K42" s="40">
        <v>18890.85</v>
      </c>
      <c r="L42" s="21"/>
      <c r="M42" s="47" t="s">
        <v>601</v>
      </c>
      <c r="N42" s="27"/>
      <c r="O42" s="40">
        <f>K42</f>
        <v>18890.85</v>
      </c>
      <c r="P42" s="21"/>
    </row>
    <row r="43" spans="3:16" ht="15.75" customHeight="1">
      <c r="C43" s="43" t="s">
        <v>42</v>
      </c>
      <c r="D43" s="44"/>
      <c r="E43" s="128">
        <v>1.58</v>
      </c>
      <c r="G43" s="157">
        <v>37273</v>
      </c>
      <c r="H43" s="127">
        <v>37455</v>
      </c>
      <c r="I43" s="307"/>
      <c r="J43" s="197">
        <v>37455</v>
      </c>
      <c r="K43" s="40">
        <v>17643.008</v>
      </c>
      <c r="L43" s="21"/>
      <c r="M43" s="47" t="s">
        <v>601</v>
      </c>
      <c r="N43" s="27"/>
      <c r="O43" s="40">
        <f>K43</f>
        <v>17643.008</v>
      </c>
      <c r="P43" s="21"/>
    </row>
    <row r="44" spans="3:16" ht="15.75" customHeight="1">
      <c r="C44" s="43" t="s">
        <v>43</v>
      </c>
      <c r="D44" s="44"/>
      <c r="E44" s="128">
        <v>1.735</v>
      </c>
      <c r="G44" s="157">
        <v>37280</v>
      </c>
      <c r="H44" s="127">
        <v>37462</v>
      </c>
      <c r="I44" s="307"/>
      <c r="J44" s="197">
        <v>37462</v>
      </c>
      <c r="K44" s="40">
        <v>17675.654</v>
      </c>
      <c r="L44" s="21"/>
      <c r="M44" s="47" t="s">
        <v>601</v>
      </c>
      <c r="N44" s="27"/>
      <c r="O44" s="40">
        <f>K44</f>
        <v>17675.654</v>
      </c>
      <c r="P44" s="21"/>
    </row>
    <row r="45" spans="3:16" ht="15.75" customHeight="1">
      <c r="C45" s="43" t="s">
        <v>888</v>
      </c>
      <c r="D45" s="44"/>
      <c r="E45" s="128">
        <v>1.83</v>
      </c>
      <c r="G45" s="157">
        <v>37287</v>
      </c>
      <c r="H45" s="127">
        <v>37469</v>
      </c>
      <c r="I45" s="307"/>
      <c r="J45" s="197">
        <v>37469</v>
      </c>
      <c r="K45" s="40">
        <v>19135.469</v>
      </c>
      <c r="L45" s="21"/>
      <c r="M45" s="47" t="s">
        <v>601</v>
      </c>
      <c r="N45" s="27"/>
      <c r="O45" s="40">
        <f aca="true" t="shared" si="0" ref="O45:O51">K45</f>
        <v>19135.469</v>
      </c>
      <c r="P45" s="21"/>
    </row>
    <row r="46" spans="3:16" ht="15.75" customHeight="1">
      <c r="C46" s="43" t="s">
        <v>96</v>
      </c>
      <c r="D46" s="44"/>
      <c r="E46" s="128">
        <v>1.83</v>
      </c>
      <c r="G46" s="157">
        <v>37294</v>
      </c>
      <c r="H46" s="127">
        <v>37476</v>
      </c>
      <c r="I46" s="307"/>
      <c r="J46" s="197">
        <v>37476</v>
      </c>
      <c r="K46" s="40">
        <v>18982.408</v>
      </c>
      <c r="L46" s="21"/>
      <c r="M46" s="47" t="s">
        <v>601</v>
      </c>
      <c r="N46" s="27"/>
      <c r="O46" s="40">
        <f t="shared" si="0"/>
        <v>18982.408</v>
      </c>
      <c r="P46" s="21"/>
    </row>
    <row r="47" spans="3:16" ht="15.75" customHeight="1">
      <c r="C47" s="43" t="s">
        <v>95</v>
      </c>
      <c r="D47" s="44"/>
      <c r="E47" s="128">
        <v>1.81</v>
      </c>
      <c r="G47" s="157">
        <v>37301</v>
      </c>
      <c r="H47" s="127">
        <v>37483</v>
      </c>
      <c r="I47" s="307"/>
      <c r="J47" s="197">
        <v>37483</v>
      </c>
      <c r="K47" s="40">
        <v>19108.653</v>
      </c>
      <c r="L47" s="21"/>
      <c r="M47" s="47" t="s">
        <v>601</v>
      </c>
      <c r="N47" s="27"/>
      <c r="O47" s="40">
        <f t="shared" si="0"/>
        <v>19108.653</v>
      </c>
      <c r="P47" s="21"/>
    </row>
    <row r="48" spans="3:16" ht="15.75" customHeight="1">
      <c r="C48" s="43" t="s">
        <v>93</v>
      </c>
      <c r="D48" s="44"/>
      <c r="E48" s="128">
        <v>1.83</v>
      </c>
      <c r="G48" s="157">
        <v>37308</v>
      </c>
      <c r="H48" s="127">
        <v>37490</v>
      </c>
      <c r="I48" s="307" t="s">
        <v>560</v>
      </c>
      <c r="J48" s="197">
        <v>37490</v>
      </c>
      <c r="K48" s="40">
        <v>18952.327</v>
      </c>
      <c r="L48" s="21"/>
      <c r="M48" s="47" t="s">
        <v>601</v>
      </c>
      <c r="N48" s="27"/>
      <c r="O48" s="40">
        <f t="shared" si="0"/>
        <v>18952.327</v>
      </c>
      <c r="P48" s="21"/>
    </row>
    <row r="49" spans="3:16" ht="15.75" customHeight="1">
      <c r="C49" s="43" t="s">
        <v>94</v>
      </c>
      <c r="D49" s="44"/>
      <c r="E49" s="128">
        <v>1.85</v>
      </c>
      <c r="G49" s="157">
        <v>37315</v>
      </c>
      <c r="H49" s="127">
        <v>37497</v>
      </c>
      <c r="I49" s="307"/>
      <c r="J49" s="197">
        <v>37497</v>
      </c>
      <c r="K49" s="40">
        <v>19812.088</v>
      </c>
      <c r="L49" s="21"/>
      <c r="M49" s="47" t="s">
        <v>601</v>
      </c>
      <c r="N49" s="27"/>
      <c r="O49" s="40">
        <f t="shared" si="0"/>
        <v>19812.088</v>
      </c>
      <c r="P49" s="21"/>
    </row>
    <row r="50" spans="3:16" ht="15.75" customHeight="1">
      <c r="C50" s="43" t="s">
        <v>530</v>
      </c>
      <c r="D50" s="44"/>
      <c r="E50" s="128">
        <v>1.89</v>
      </c>
      <c r="G50" s="157">
        <v>37322</v>
      </c>
      <c r="H50" s="127">
        <v>37504</v>
      </c>
      <c r="I50" s="307"/>
      <c r="J50" s="197">
        <v>37504</v>
      </c>
      <c r="K50" s="40">
        <v>17642.473</v>
      </c>
      <c r="L50" s="21"/>
      <c r="M50" s="47" t="s">
        <v>601</v>
      </c>
      <c r="N50" s="27"/>
      <c r="O50" s="40">
        <f t="shared" si="0"/>
        <v>17642.473</v>
      </c>
      <c r="P50" s="21"/>
    </row>
    <row r="51" spans="3:16" ht="15.75" customHeight="1">
      <c r="C51" s="43" t="s">
        <v>111</v>
      </c>
      <c r="D51" s="44"/>
      <c r="E51" s="128">
        <v>2.02</v>
      </c>
      <c r="G51" s="157">
        <v>37329</v>
      </c>
      <c r="H51" s="127">
        <v>37511</v>
      </c>
      <c r="I51" s="307"/>
      <c r="J51" s="197">
        <v>37511</v>
      </c>
      <c r="K51" s="40">
        <v>17649.3</v>
      </c>
      <c r="L51" s="21"/>
      <c r="M51" s="47" t="s">
        <v>601</v>
      </c>
      <c r="N51" s="27"/>
      <c r="O51" s="40">
        <f t="shared" si="0"/>
        <v>17649.3</v>
      </c>
      <c r="P51" s="21"/>
    </row>
    <row r="52" spans="3:16" ht="15.75" customHeight="1">
      <c r="C52" s="43" t="s">
        <v>445</v>
      </c>
      <c r="D52" s="44"/>
      <c r="E52" s="128">
        <v>2.07</v>
      </c>
      <c r="G52" s="157">
        <v>37336</v>
      </c>
      <c r="H52" s="127">
        <v>37518</v>
      </c>
      <c r="I52" s="307"/>
      <c r="J52" s="197">
        <v>37518</v>
      </c>
      <c r="K52" s="40">
        <v>17715.928</v>
      </c>
      <c r="L52" s="21"/>
      <c r="M52" s="47" t="s">
        <v>601</v>
      </c>
      <c r="N52" s="27"/>
      <c r="O52" s="40">
        <f>K52</f>
        <v>17715.928</v>
      </c>
      <c r="P52" s="21"/>
    </row>
    <row r="53" spans="3:16" ht="15.75" customHeight="1">
      <c r="C53" s="43" t="s">
        <v>481</v>
      </c>
      <c r="D53" s="44"/>
      <c r="E53" s="128">
        <v>2.11</v>
      </c>
      <c r="G53" s="157">
        <v>37343</v>
      </c>
      <c r="H53" s="127">
        <v>37525</v>
      </c>
      <c r="I53" s="307"/>
      <c r="J53" s="197">
        <v>37525</v>
      </c>
      <c r="K53" s="40">
        <v>16739.977</v>
      </c>
      <c r="L53" s="21"/>
      <c r="M53" s="47" t="s">
        <v>601</v>
      </c>
      <c r="N53" s="27"/>
      <c r="O53" s="40">
        <f>K53</f>
        <v>16739.977</v>
      </c>
      <c r="P53" s="21"/>
    </row>
    <row r="54" spans="2:16" ht="21" customHeight="1">
      <c r="B54" s="9" t="s">
        <v>508</v>
      </c>
      <c r="G54" s="16" t="s">
        <v>602</v>
      </c>
      <c r="H54" s="46" t="s">
        <v>603</v>
      </c>
      <c r="I54" s="3"/>
      <c r="J54" s="34" t="s">
        <v>604</v>
      </c>
      <c r="K54" s="56">
        <f>SUM(K11:K53)</f>
        <v>834408.5599999999</v>
      </c>
      <c r="L54" s="229"/>
      <c r="M54" s="230" t="s">
        <v>601</v>
      </c>
      <c r="N54" s="231"/>
      <c r="O54" s="237">
        <f>K54+M54</f>
        <v>834408.5599999999</v>
      </c>
      <c r="P54" s="229"/>
    </row>
    <row r="55" spans="2:16" ht="15.75" customHeight="1">
      <c r="B55" t="s">
        <v>509</v>
      </c>
      <c r="G55" s="16" t="s">
        <v>602</v>
      </c>
      <c r="H55" s="46" t="s">
        <v>603</v>
      </c>
      <c r="I55" s="3"/>
      <c r="J55" s="34" t="s">
        <v>604</v>
      </c>
      <c r="K55" s="232" t="s">
        <v>788</v>
      </c>
      <c r="L55" s="28"/>
      <c r="M55" s="233" t="s">
        <v>601</v>
      </c>
      <c r="N55" s="234"/>
      <c r="O55" s="232" t="str">
        <f>K55</f>
        <v>*  </v>
      </c>
      <c r="P55" s="28"/>
    </row>
    <row r="56" spans="2:16" ht="15.75" customHeight="1" thickBot="1">
      <c r="B56" s="75" t="s">
        <v>510</v>
      </c>
      <c r="G56" s="16" t="s">
        <v>602</v>
      </c>
      <c r="H56" s="46" t="s">
        <v>603</v>
      </c>
      <c r="I56" s="3"/>
      <c r="J56" s="34" t="s">
        <v>604</v>
      </c>
      <c r="K56" s="235">
        <f>+K54+0.454</f>
        <v>834409.014</v>
      </c>
      <c r="L56" s="236"/>
      <c r="M56" s="238" t="s">
        <v>601</v>
      </c>
      <c r="N56" s="239"/>
      <c r="O56" s="235">
        <f>+O54+0.474</f>
        <v>834409.034</v>
      </c>
      <c r="P56" s="24"/>
    </row>
    <row r="57" spans="7:16" ht="15.75" customHeight="1" thickTop="1">
      <c r="G57" s="14"/>
      <c r="H57" s="45"/>
      <c r="J57" s="34"/>
      <c r="K57" s="40"/>
      <c r="L57" s="21"/>
      <c r="M57" s="40"/>
      <c r="N57" s="21"/>
      <c r="O57" s="40"/>
      <c r="P57" s="21"/>
    </row>
    <row r="58" spans="2:16" ht="21" customHeight="1">
      <c r="B58" s="9" t="s">
        <v>605</v>
      </c>
      <c r="D58" s="160" t="s">
        <v>797</v>
      </c>
      <c r="F58" s="19"/>
      <c r="G58" s="18"/>
      <c r="H58" s="18"/>
      <c r="I58" s="39"/>
      <c r="J58" s="68"/>
      <c r="K58" s="14"/>
      <c r="M58" s="14"/>
      <c r="O58" s="40"/>
      <c r="P58" s="21"/>
    </row>
    <row r="59" spans="2:16" ht="17.25" customHeight="1">
      <c r="B59" s="9" t="s">
        <v>599</v>
      </c>
      <c r="D59" s="3" t="s">
        <v>606</v>
      </c>
      <c r="E59" s="3" t="s">
        <v>607</v>
      </c>
      <c r="F59" s="3"/>
      <c r="G59" s="69"/>
      <c r="H59" s="69"/>
      <c r="I59" s="42"/>
      <c r="J59" s="68"/>
      <c r="K59" s="14"/>
      <c r="M59" s="14"/>
      <c r="O59" s="40"/>
      <c r="P59" s="21"/>
    </row>
    <row r="60" spans="3:16" ht="15.75" customHeight="1">
      <c r="C60" s="43" t="s">
        <v>14</v>
      </c>
      <c r="D60" s="48" t="s">
        <v>629</v>
      </c>
      <c r="E60" s="48" t="s">
        <v>666</v>
      </c>
      <c r="F60" s="159"/>
      <c r="G60" s="52">
        <v>35550</v>
      </c>
      <c r="H60" s="91">
        <v>37376</v>
      </c>
      <c r="I60" s="3"/>
      <c r="J60" s="34" t="s">
        <v>634</v>
      </c>
      <c r="K60" s="40">
        <v>14474.673</v>
      </c>
      <c r="L60" s="21"/>
      <c r="M60" s="47" t="s">
        <v>601</v>
      </c>
      <c r="N60" s="27"/>
      <c r="O60" s="40">
        <f>K60-M60</f>
        <v>14474.673</v>
      </c>
      <c r="P60" s="21"/>
    </row>
    <row r="61" spans="3:16" ht="15.75" customHeight="1">
      <c r="C61" s="43" t="s">
        <v>134</v>
      </c>
      <c r="D61" s="48" t="s">
        <v>660</v>
      </c>
      <c r="E61" s="145" t="s">
        <v>612</v>
      </c>
      <c r="F61" s="159"/>
      <c r="G61" s="52">
        <v>36647</v>
      </c>
      <c r="H61" s="91">
        <v>37376</v>
      </c>
      <c r="I61" s="3"/>
      <c r="J61" s="34" t="s">
        <v>634</v>
      </c>
      <c r="K61" s="40">
        <v>17390.9</v>
      </c>
      <c r="L61" s="21"/>
      <c r="M61" s="47" t="s">
        <v>601</v>
      </c>
      <c r="N61" s="27"/>
      <c r="O61" s="40">
        <f>K61-M61</f>
        <v>17390.9</v>
      </c>
      <c r="P61" s="21"/>
    </row>
    <row r="62" spans="3:16" ht="15.75" customHeight="1">
      <c r="C62" s="43" t="s">
        <v>182</v>
      </c>
      <c r="D62" s="48" t="s">
        <v>617</v>
      </c>
      <c r="E62" s="48" t="s">
        <v>655</v>
      </c>
      <c r="F62" s="159"/>
      <c r="G62" s="52">
        <v>33739</v>
      </c>
      <c r="H62" s="46">
        <v>37391</v>
      </c>
      <c r="I62" s="3"/>
      <c r="J62" s="34" t="s">
        <v>637</v>
      </c>
      <c r="K62" s="40">
        <v>11714.397</v>
      </c>
      <c r="L62" s="21"/>
      <c r="M62" s="47" t="s">
        <v>601</v>
      </c>
      <c r="N62" s="27"/>
      <c r="O62" s="40">
        <f aca="true" t="shared" si="1" ref="O62:O68">K62-M62</f>
        <v>11714.397</v>
      </c>
      <c r="P62" s="21"/>
    </row>
    <row r="63" spans="3:16" ht="15.75" customHeight="1">
      <c r="C63" s="43" t="s">
        <v>135</v>
      </c>
      <c r="D63" s="48" t="s">
        <v>644</v>
      </c>
      <c r="E63" s="48" t="s">
        <v>633</v>
      </c>
      <c r="F63" s="159"/>
      <c r="G63" s="52">
        <v>35583</v>
      </c>
      <c r="H63" s="46">
        <v>37407</v>
      </c>
      <c r="I63" s="3"/>
      <c r="J63" s="34" t="s">
        <v>641</v>
      </c>
      <c r="K63" s="40">
        <v>13503.89</v>
      </c>
      <c r="L63" s="21"/>
      <c r="M63" s="47" t="s">
        <v>601</v>
      </c>
      <c r="N63" s="27"/>
      <c r="O63" s="40">
        <f t="shared" si="1"/>
        <v>13503.89</v>
      </c>
      <c r="P63" s="21"/>
    </row>
    <row r="64" spans="3:16" ht="15.75" customHeight="1">
      <c r="C64" s="89" t="s">
        <v>136</v>
      </c>
      <c r="D64" s="48" t="s">
        <v>608</v>
      </c>
      <c r="E64" s="48" t="s">
        <v>666</v>
      </c>
      <c r="F64" s="159"/>
      <c r="G64" s="52">
        <v>36677</v>
      </c>
      <c r="H64" s="46">
        <v>37407</v>
      </c>
      <c r="I64" s="3"/>
      <c r="J64" s="34" t="s">
        <v>641</v>
      </c>
      <c r="K64" s="40">
        <v>14871.823</v>
      </c>
      <c r="L64" s="21"/>
      <c r="M64" s="47" t="s">
        <v>601</v>
      </c>
      <c r="N64" s="27"/>
      <c r="O64" s="40">
        <f t="shared" si="1"/>
        <v>14871.823</v>
      </c>
      <c r="P64" s="21"/>
    </row>
    <row r="65" spans="3:16" ht="15.75" customHeight="1">
      <c r="C65" s="89" t="s">
        <v>137</v>
      </c>
      <c r="D65" s="48" t="s">
        <v>653</v>
      </c>
      <c r="E65" s="48" t="s">
        <v>628</v>
      </c>
      <c r="F65" s="159"/>
      <c r="G65" s="52">
        <v>35611</v>
      </c>
      <c r="H65" s="46">
        <v>37437</v>
      </c>
      <c r="I65" s="3"/>
      <c r="J65" s="34" t="s">
        <v>609</v>
      </c>
      <c r="K65" s="40">
        <v>13058.694</v>
      </c>
      <c r="L65" s="21"/>
      <c r="M65" s="47" t="s">
        <v>601</v>
      </c>
      <c r="N65" s="27"/>
      <c r="O65" s="40">
        <f t="shared" si="1"/>
        <v>13058.694</v>
      </c>
      <c r="P65" s="21"/>
    </row>
    <row r="66" spans="3:16" ht="17.25" customHeight="1">
      <c r="C66" s="43" t="s">
        <v>138</v>
      </c>
      <c r="D66" s="48" t="s">
        <v>620</v>
      </c>
      <c r="E66" s="48" t="s">
        <v>612</v>
      </c>
      <c r="F66" s="159"/>
      <c r="G66" s="52">
        <v>36707</v>
      </c>
      <c r="H66" s="46">
        <v>37437</v>
      </c>
      <c r="I66" s="3"/>
      <c r="J66" s="34" t="s">
        <v>609</v>
      </c>
      <c r="K66" s="40">
        <v>14320.609</v>
      </c>
      <c r="L66" s="21"/>
      <c r="M66" s="47" t="s">
        <v>601</v>
      </c>
      <c r="N66" s="27"/>
      <c r="O66" s="40">
        <f t="shared" si="1"/>
        <v>14320.609</v>
      </c>
      <c r="P66" s="21"/>
    </row>
    <row r="67" spans="3:16" ht="17.25" customHeight="1">
      <c r="C67" s="43" t="s">
        <v>263</v>
      </c>
      <c r="D67" s="48" t="s">
        <v>621</v>
      </c>
      <c r="E67" s="90" t="s">
        <v>643</v>
      </c>
      <c r="F67" s="159"/>
      <c r="G67" s="52">
        <v>35642</v>
      </c>
      <c r="H67" s="46">
        <v>37468</v>
      </c>
      <c r="I67" s="3"/>
      <c r="J67" s="34" t="s">
        <v>615</v>
      </c>
      <c r="K67" s="40">
        <v>12231.057</v>
      </c>
      <c r="L67" s="21"/>
      <c r="M67" s="47" t="s">
        <v>601</v>
      </c>
      <c r="N67" s="27"/>
      <c r="O67" s="40">
        <f t="shared" si="1"/>
        <v>12231.057</v>
      </c>
      <c r="P67" s="21"/>
    </row>
    <row r="68" spans="3:16" ht="15.75" customHeight="1">
      <c r="C68" s="43" t="s">
        <v>693</v>
      </c>
      <c r="D68" s="48" t="s">
        <v>638</v>
      </c>
      <c r="E68" s="90" t="s">
        <v>885</v>
      </c>
      <c r="F68" s="159"/>
      <c r="G68" s="52">
        <v>36738</v>
      </c>
      <c r="H68" s="46">
        <v>37468</v>
      </c>
      <c r="I68" s="3"/>
      <c r="J68" s="34" t="s">
        <v>615</v>
      </c>
      <c r="K68" s="40">
        <v>15057.9</v>
      </c>
      <c r="L68" s="21"/>
      <c r="M68" s="47" t="s">
        <v>601</v>
      </c>
      <c r="N68" s="27"/>
      <c r="O68" s="40">
        <f t="shared" si="1"/>
        <v>15057.9</v>
      </c>
      <c r="P68" s="21"/>
    </row>
    <row r="69" spans="3:16" ht="15.75" customHeight="1">
      <c r="C69" s="43" t="s">
        <v>432</v>
      </c>
      <c r="D69" s="48" t="s">
        <v>635</v>
      </c>
      <c r="E69" s="48" t="s">
        <v>612</v>
      </c>
      <c r="F69" s="159"/>
      <c r="G69" s="52">
        <v>33833</v>
      </c>
      <c r="H69" s="46">
        <v>37483</v>
      </c>
      <c r="I69" s="3"/>
      <c r="J69" s="34" t="s">
        <v>619</v>
      </c>
      <c r="K69" s="40">
        <v>23859.015</v>
      </c>
      <c r="L69" s="21"/>
      <c r="M69" s="47" t="s">
        <v>601</v>
      </c>
      <c r="N69" s="27"/>
      <c r="O69" s="40">
        <f aca="true" t="shared" si="2" ref="O69:O77">K69-M69</f>
        <v>23859.015</v>
      </c>
      <c r="P69" s="21"/>
    </row>
    <row r="70" spans="3:16" ht="15.75" customHeight="1">
      <c r="C70" s="43" t="s">
        <v>140</v>
      </c>
      <c r="D70" s="48" t="s">
        <v>625</v>
      </c>
      <c r="E70" s="48" t="s">
        <v>628</v>
      </c>
      <c r="F70" s="159"/>
      <c r="G70" s="52">
        <v>35675</v>
      </c>
      <c r="H70" s="46">
        <v>37499</v>
      </c>
      <c r="I70" s="3"/>
      <c r="J70" s="34" t="s">
        <v>623</v>
      </c>
      <c r="K70" s="40">
        <v>12731.742</v>
      </c>
      <c r="L70" s="21"/>
      <c r="M70" s="47" t="s">
        <v>601</v>
      </c>
      <c r="N70" s="27"/>
      <c r="O70" s="40">
        <f t="shared" si="2"/>
        <v>12731.742</v>
      </c>
      <c r="P70" s="21"/>
    </row>
    <row r="71" spans="3:16" ht="15.75" customHeight="1">
      <c r="C71" s="43" t="s">
        <v>267</v>
      </c>
      <c r="D71" s="48" t="s">
        <v>649</v>
      </c>
      <c r="E71" s="48" t="s">
        <v>663</v>
      </c>
      <c r="F71" s="159"/>
      <c r="G71" s="52">
        <v>36769</v>
      </c>
      <c r="H71" s="46">
        <v>37499</v>
      </c>
      <c r="I71" s="3"/>
      <c r="J71" s="34" t="s">
        <v>623</v>
      </c>
      <c r="K71" s="40">
        <v>15072.214</v>
      </c>
      <c r="L71" s="21"/>
      <c r="M71" s="47" t="s">
        <v>601</v>
      </c>
      <c r="N71" s="27"/>
      <c r="O71" s="40">
        <f t="shared" si="2"/>
        <v>15072.214</v>
      </c>
      <c r="P71" s="21"/>
    </row>
    <row r="72" spans="3:16" ht="15.75" customHeight="1">
      <c r="C72" s="43" t="s">
        <v>141</v>
      </c>
      <c r="D72" s="48" t="s">
        <v>632</v>
      </c>
      <c r="E72" s="48" t="s">
        <v>616</v>
      </c>
      <c r="F72" s="159"/>
      <c r="G72" s="52">
        <v>35703</v>
      </c>
      <c r="H72" s="46">
        <v>37529</v>
      </c>
      <c r="I72" s="3"/>
      <c r="J72" s="34" t="s">
        <v>626</v>
      </c>
      <c r="K72" s="40">
        <v>12806.814</v>
      </c>
      <c r="L72" s="21"/>
      <c r="M72" s="47" t="s">
        <v>601</v>
      </c>
      <c r="N72" s="27"/>
      <c r="O72" s="40">
        <f t="shared" si="2"/>
        <v>12806.814</v>
      </c>
      <c r="P72" s="21"/>
    </row>
    <row r="73" spans="3:16" ht="15.75" customHeight="1">
      <c r="C73" s="43" t="s">
        <v>269</v>
      </c>
      <c r="D73" s="48" t="s">
        <v>659</v>
      </c>
      <c r="E73" s="48">
        <v>6</v>
      </c>
      <c r="F73" s="159"/>
      <c r="G73" s="52">
        <v>36801</v>
      </c>
      <c r="H73" s="46">
        <v>37529</v>
      </c>
      <c r="I73" s="3"/>
      <c r="J73" s="34" t="s">
        <v>626</v>
      </c>
      <c r="K73" s="40">
        <v>15144.335</v>
      </c>
      <c r="L73" s="21"/>
      <c r="M73" s="47" t="s">
        <v>601</v>
      </c>
      <c r="N73" s="27"/>
      <c r="O73" s="40">
        <f t="shared" si="2"/>
        <v>15144.335</v>
      </c>
      <c r="P73" s="21"/>
    </row>
    <row r="74" spans="3:16" ht="15.75" customHeight="1">
      <c r="C74" s="43" t="s">
        <v>142</v>
      </c>
      <c r="D74" s="48" t="s">
        <v>639</v>
      </c>
      <c r="E74" s="48" t="s">
        <v>610</v>
      </c>
      <c r="F74" s="159"/>
      <c r="G74" s="52">
        <v>35734</v>
      </c>
      <c r="H74" s="46">
        <v>37560</v>
      </c>
      <c r="I74" s="3"/>
      <c r="J74" s="34" t="s">
        <v>634</v>
      </c>
      <c r="K74" s="40">
        <v>26593.892</v>
      </c>
      <c r="L74" s="21"/>
      <c r="M74" s="47" t="s">
        <v>601</v>
      </c>
      <c r="N74" s="27"/>
      <c r="O74" s="40">
        <f t="shared" si="2"/>
        <v>26593.892</v>
      </c>
      <c r="P74" s="21"/>
    </row>
    <row r="75" spans="3:16" ht="15.75" customHeight="1">
      <c r="C75" s="43" t="s">
        <v>439</v>
      </c>
      <c r="D75" s="48" t="s">
        <v>642</v>
      </c>
      <c r="E75" s="48" t="s">
        <v>610</v>
      </c>
      <c r="F75" s="159"/>
      <c r="G75" s="52">
        <v>35765</v>
      </c>
      <c r="H75" s="46">
        <v>37590</v>
      </c>
      <c r="I75" s="3"/>
      <c r="J75" s="34" t="s">
        <v>641</v>
      </c>
      <c r="K75" s="40">
        <v>12120.58</v>
      </c>
      <c r="L75" s="21"/>
      <c r="M75" s="47" t="s">
        <v>601</v>
      </c>
      <c r="N75" s="27"/>
      <c r="O75" s="40">
        <f t="shared" si="2"/>
        <v>12120.58</v>
      </c>
      <c r="P75" s="21"/>
    </row>
    <row r="76" spans="3:16" ht="15.75" customHeight="1">
      <c r="C76" s="43" t="s">
        <v>143</v>
      </c>
      <c r="D76" s="48" t="s">
        <v>624</v>
      </c>
      <c r="E76" s="48" t="s">
        <v>656</v>
      </c>
      <c r="F76" s="159"/>
      <c r="G76" s="52">
        <v>36860</v>
      </c>
      <c r="H76" s="46">
        <v>37590</v>
      </c>
      <c r="I76" s="3"/>
      <c r="J76" s="34" t="s">
        <v>641</v>
      </c>
      <c r="K76" s="40">
        <v>15058.528</v>
      </c>
      <c r="L76" s="21"/>
      <c r="M76" s="47" t="s">
        <v>601</v>
      </c>
      <c r="N76" s="27"/>
      <c r="O76" s="40">
        <f t="shared" si="2"/>
        <v>15058.528</v>
      </c>
      <c r="P76" s="21"/>
    </row>
    <row r="77" spans="3:16" ht="15.75" customHeight="1">
      <c r="C77" s="43" t="s">
        <v>436</v>
      </c>
      <c r="D77" s="48" t="s">
        <v>645</v>
      </c>
      <c r="E77" s="48" t="s">
        <v>656</v>
      </c>
      <c r="F77" s="159"/>
      <c r="G77" s="52">
        <v>35795</v>
      </c>
      <c r="H77" s="46">
        <v>37621</v>
      </c>
      <c r="I77" s="3"/>
      <c r="J77" s="34" t="s">
        <v>609</v>
      </c>
      <c r="K77" s="40">
        <v>12052.433</v>
      </c>
      <c r="L77" s="21"/>
      <c r="M77" s="47" t="s">
        <v>601</v>
      </c>
      <c r="N77" s="27"/>
      <c r="O77" s="40">
        <f t="shared" si="2"/>
        <v>12052.433</v>
      </c>
      <c r="P77" s="21"/>
    </row>
    <row r="78" spans="3:16" ht="15.75" customHeight="1">
      <c r="C78" s="43" t="s">
        <v>708</v>
      </c>
      <c r="D78" s="48" t="s">
        <v>627</v>
      </c>
      <c r="E78" s="145" t="s">
        <v>709</v>
      </c>
      <c r="F78" s="159"/>
      <c r="G78" s="52">
        <v>36893</v>
      </c>
      <c r="H78" s="46">
        <v>37621</v>
      </c>
      <c r="I78" s="3"/>
      <c r="J78" s="137" t="s">
        <v>609</v>
      </c>
      <c r="K78" s="40">
        <v>14822.027</v>
      </c>
      <c r="L78" s="21"/>
      <c r="M78" s="47" t="s">
        <v>601</v>
      </c>
      <c r="N78" s="27"/>
      <c r="O78" s="40">
        <f aca="true" t="shared" si="3" ref="O78:O83">K78-M78</f>
        <v>14822.027</v>
      </c>
      <c r="P78" s="21"/>
    </row>
    <row r="79" spans="3:16" ht="15.75" customHeight="1">
      <c r="C79" s="43" t="s">
        <v>144</v>
      </c>
      <c r="D79" s="48" t="s">
        <v>647</v>
      </c>
      <c r="E79" s="90" t="s">
        <v>622</v>
      </c>
      <c r="F79" s="159"/>
      <c r="G79" s="52">
        <v>35828</v>
      </c>
      <c r="H79" s="46">
        <v>37652</v>
      </c>
      <c r="I79" s="3"/>
      <c r="J79" s="34" t="s">
        <v>615</v>
      </c>
      <c r="K79" s="40">
        <v>13100.64</v>
      </c>
      <c r="L79" s="21"/>
      <c r="M79" s="47" t="s">
        <v>601</v>
      </c>
      <c r="N79" s="27"/>
      <c r="O79" s="40">
        <f t="shared" si="3"/>
        <v>13100.64</v>
      </c>
      <c r="P79" s="21"/>
    </row>
    <row r="80" spans="3:16" ht="15.75" customHeight="1">
      <c r="C80" s="43" t="s">
        <v>712</v>
      </c>
      <c r="D80" s="48" t="s">
        <v>625</v>
      </c>
      <c r="E80" s="90" t="s">
        <v>669</v>
      </c>
      <c r="F80" s="159"/>
      <c r="G80" s="52">
        <v>36922</v>
      </c>
      <c r="H80" s="46">
        <v>37652</v>
      </c>
      <c r="I80" s="3"/>
      <c r="J80" s="137" t="s">
        <v>615</v>
      </c>
      <c r="K80" s="40">
        <v>15452.604</v>
      </c>
      <c r="L80" s="21"/>
      <c r="M80" s="47" t="s">
        <v>601</v>
      </c>
      <c r="N80" s="27"/>
      <c r="O80" s="40">
        <f t="shared" si="3"/>
        <v>15452.604</v>
      </c>
      <c r="P80" s="21"/>
    </row>
    <row r="81" spans="3:16" ht="15.75" customHeight="1">
      <c r="C81" s="43" t="s">
        <v>145</v>
      </c>
      <c r="D81" s="48" t="s">
        <v>617</v>
      </c>
      <c r="E81" s="48" t="s">
        <v>628</v>
      </c>
      <c r="F81" s="159"/>
      <c r="G81" s="52">
        <v>34016</v>
      </c>
      <c r="H81" s="46">
        <v>37667</v>
      </c>
      <c r="I81" s="3"/>
      <c r="J81" s="34" t="s">
        <v>619</v>
      </c>
      <c r="K81" s="40">
        <v>23562.691</v>
      </c>
      <c r="L81" s="21"/>
      <c r="M81" s="47" t="s">
        <v>601</v>
      </c>
      <c r="N81" s="27"/>
      <c r="O81" s="40">
        <f t="shared" si="3"/>
        <v>23562.691</v>
      </c>
      <c r="P81" s="21"/>
    </row>
    <row r="82" spans="3:16" ht="15.75" customHeight="1">
      <c r="C82" s="43" t="s">
        <v>146</v>
      </c>
      <c r="D82" s="48" t="s">
        <v>657</v>
      </c>
      <c r="E82" s="90" t="s">
        <v>622</v>
      </c>
      <c r="F82" s="159"/>
      <c r="G82" s="52">
        <v>35856</v>
      </c>
      <c r="H82" s="46">
        <v>37680</v>
      </c>
      <c r="I82" s="3"/>
      <c r="J82" s="34" t="s">
        <v>623</v>
      </c>
      <c r="K82" s="40">
        <v>13670.354</v>
      </c>
      <c r="L82" s="21"/>
      <c r="M82" s="47" t="s">
        <v>601</v>
      </c>
      <c r="N82" s="27"/>
      <c r="O82" s="40">
        <f t="shared" si="3"/>
        <v>13670.354</v>
      </c>
      <c r="P82" s="21"/>
    </row>
    <row r="83" spans="3:16" ht="15.75" customHeight="1">
      <c r="C83" s="43" t="s">
        <v>73</v>
      </c>
      <c r="D83" s="48" t="s">
        <v>632</v>
      </c>
      <c r="E83" s="145" t="s">
        <v>104</v>
      </c>
      <c r="F83" s="159"/>
      <c r="G83" s="52">
        <v>36950</v>
      </c>
      <c r="H83" s="46">
        <v>37680</v>
      </c>
      <c r="I83" s="3"/>
      <c r="J83" s="34" t="s">
        <v>623</v>
      </c>
      <c r="K83" s="40">
        <v>14685.095</v>
      </c>
      <c r="L83" s="21"/>
      <c r="M83" s="47" t="s">
        <v>601</v>
      </c>
      <c r="N83" s="27"/>
      <c r="O83" s="40">
        <f t="shared" si="3"/>
        <v>14685.095</v>
      </c>
      <c r="P83" s="21"/>
    </row>
    <row r="84" spans="1:16" ht="15.75" thickBot="1">
      <c r="A84" s="102"/>
      <c r="B84" s="102"/>
      <c r="C84" s="102"/>
      <c r="D84" s="102"/>
      <c r="E84" s="102"/>
      <c r="F84" s="102"/>
      <c r="G84" s="102"/>
      <c r="H84" s="102"/>
      <c r="I84" s="102"/>
      <c r="J84" s="103"/>
      <c r="K84" s="102"/>
      <c r="L84" s="102"/>
      <c r="M84" s="102"/>
      <c r="N84" s="102"/>
      <c r="O84" s="102"/>
      <c r="P84" s="102"/>
    </row>
    <row r="85" spans="1:16" ht="16.5" thickTop="1">
      <c r="A85" s="96"/>
      <c r="B85" s="2" t="s">
        <v>12</v>
      </c>
      <c r="C85" s="2"/>
      <c r="D85" s="3"/>
      <c r="E85" s="3"/>
      <c r="F85" s="3"/>
      <c r="G85" s="3"/>
      <c r="H85" s="3"/>
      <c r="I85" s="29"/>
      <c r="J85" s="3"/>
      <c r="K85" s="3"/>
      <c r="L85" s="3"/>
      <c r="M85" s="3"/>
      <c r="N85" s="3"/>
      <c r="O85" s="3"/>
      <c r="P85" s="97">
        <v>3</v>
      </c>
    </row>
    <row r="86" spans="1:16" ht="10.5" customHeight="1" thickBot="1">
      <c r="A86" s="2"/>
      <c r="B86" s="2"/>
      <c r="C86" s="2"/>
      <c r="D86" s="3"/>
      <c r="E86" s="3"/>
      <c r="F86" s="3"/>
      <c r="G86" s="3"/>
      <c r="H86" s="3"/>
      <c r="I86" s="29"/>
      <c r="K86" s="3"/>
      <c r="L86" s="3"/>
      <c r="M86" s="3"/>
      <c r="N86" s="3"/>
      <c r="O86" s="3"/>
      <c r="P86" s="2"/>
    </row>
    <row r="87" spans="1:16" ht="15.75" customHeight="1" thickTop="1">
      <c r="A87" s="32"/>
      <c r="B87" s="32"/>
      <c r="C87" s="32"/>
      <c r="D87" s="32"/>
      <c r="E87" s="32"/>
      <c r="F87" s="32"/>
      <c r="G87" s="26"/>
      <c r="H87" s="26"/>
      <c r="I87" s="33"/>
      <c r="J87" s="67"/>
      <c r="K87" s="26"/>
      <c r="L87" s="32"/>
      <c r="M87" s="32"/>
      <c r="N87" s="32"/>
      <c r="O87" s="32"/>
      <c r="P87" s="32"/>
    </row>
    <row r="88" spans="3:16" ht="15.75" customHeight="1">
      <c r="C88" s="48"/>
      <c r="G88" s="16" t="s">
        <v>587</v>
      </c>
      <c r="H88" s="16" t="s">
        <v>588</v>
      </c>
      <c r="I88" s="29"/>
      <c r="J88" s="34" t="s">
        <v>589</v>
      </c>
      <c r="K88" s="16" t="s">
        <v>590</v>
      </c>
      <c r="L88" s="3"/>
      <c r="M88" s="3"/>
      <c r="N88" s="3"/>
      <c r="O88" s="3"/>
      <c r="P88" s="3"/>
    </row>
    <row r="89" spans="1:11" ht="15.75" customHeight="1">
      <c r="A89" s="3" t="s">
        <v>591</v>
      </c>
      <c r="B89" s="3"/>
      <c r="C89" s="3"/>
      <c r="D89" s="3"/>
      <c r="E89" s="3"/>
      <c r="F89" s="3"/>
      <c r="G89" s="16" t="s">
        <v>592</v>
      </c>
      <c r="H89" s="16" t="s">
        <v>593</v>
      </c>
      <c r="I89" s="29"/>
      <c r="J89" s="34" t="s">
        <v>594</v>
      </c>
      <c r="K89" s="14"/>
    </row>
    <row r="90" spans="1:16" ht="16.5" customHeight="1">
      <c r="A90" s="15"/>
      <c r="B90" s="15"/>
      <c r="C90" s="15"/>
      <c r="D90" s="15"/>
      <c r="E90" s="15"/>
      <c r="F90" s="15"/>
      <c r="G90" s="35"/>
      <c r="H90" s="35"/>
      <c r="I90" s="36"/>
      <c r="J90" s="61"/>
      <c r="K90" s="37" t="s">
        <v>595</v>
      </c>
      <c r="L90" s="38"/>
      <c r="M90" s="37" t="s">
        <v>596</v>
      </c>
      <c r="N90" s="38"/>
      <c r="O90" s="37" t="s">
        <v>563</v>
      </c>
      <c r="P90" s="38"/>
    </row>
    <row r="91" spans="7:15" ht="15.75" customHeight="1">
      <c r="G91" s="14"/>
      <c r="H91" s="14"/>
      <c r="I91" s="31"/>
      <c r="J91" s="34"/>
      <c r="K91" s="14"/>
      <c r="M91" s="14"/>
      <c r="O91" s="14"/>
    </row>
    <row r="92" spans="1:16" ht="18" customHeight="1">
      <c r="A92" s="60" t="s">
        <v>444</v>
      </c>
      <c r="B92" s="60"/>
      <c r="G92" s="18"/>
      <c r="H92" s="18"/>
      <c r="I92" s="39"/>
      <c r="J92" s="68"/>
      <c r="K92" s="14"/>
      <c r="M92" s="14"/>
      <c r="O92" s="40"/>
      <c r="P92" s="21"/>
    </row>
    <row r="93" spans="2:16" ht="17.25" customHeight="1">
      <c r="B93" s="9" t="s">
        <v>599</v>
      </c>
      <c r="D93" s="3" t="s">
        <v>606</v>
      </c>
      <c r="E93" s="3" t="s">
        <v>607</v>
      </c>
      <c r="F93" s="3"/>
      <c r="G93" s="70"/>
      <c r="I93" s="42"/>
      <c r="J93" s="68"/>
      <c r="K93" s="14"/>
      <c r="M93" s="14"/>
      <c r="O93" s="40"/>
      <c r="P93" s="21"/>
    </row>
    <row r="94" spans="3:16" ht="15.75" customHeight="1">
      <c r="C94" s="43" t="s">
        <v>112</v>
      </c>
      <c r="D94" s="48" t="s">
        <v>611</v>
      </c>
      <c r="E94" s="90" t="s">
        <v>622</v>
      </c>
      <c r="F94" s="159"/>
      <c r="G94" s="52">
        <v>35885</v>
      </c>
      <c r="H94" s="46">
        <v>37711</v>
      </c>
      <c r="I94" s="3"/>
      <c r="J94" s="34" t="s">
        <v>626</v>
      </c>
      <c r="K94" s="40">
        <v>14172.892</v>
      </c>
      <c r="L94" s="21"/>
      <c r="M94" s="47" t="s">
        <v>601</v>
      </c>
      <c r="N94" s="27"/>
      <c r="O94" s="40">
        <f aca="true" t="shared" si="4" ref="O94:O127">K94-M94</f>
        <v>14172.892</v>
      </c>
      <c r="P94" s="21"/>
    </row>
    <row r="95" spans="3:16" ht="15.75" customHeight="1">
      <c r="C95" s="43" t="s">
        <v>486</v>
      </c>
      <c r="D95" s="48" t="s">
        <v>639</v>
      </c>
      <c r="E95" s="90" t="s">
        <v>667</v>
      </c>
      <c r="F95" s="159"/>
      <c r="G95" s="52">
        <v>36983</v>
      </c>
      <c r="H95" s="46">
        <v>37711</v>
      </c>
      <c r="I95" s="3"/>
      <c r="J95" s="34" t="s">
        <v>626</v>
      </c>
      <c r="K95" s="40">
        <v>14674.853</v>
      </c>
      <c r="L95" s="21"/>
      <c r="M95" s="47" t="s">
        <v>601</v>
      </c>
      <c r="N95" s="27"/>
      <c r="O95" s="40">
        <f>K95-M95</f>
        <v>14674.853</v>
      </c>
      <c r="P95" s="21"/>
    </row>
    <row r="96" spans="3:16" ht="15.75" customHeight="1">
      <c r="C96" s="43" t="s">
        <v>148</v>
      </c>
      <c r="D96" s="48" t="s">
        <v>629</v>
      </c>
      <c r="E96" s="90" t="s">
        <v>610</v>
      </c>
      <c r="F96" s="159"/>
      <c r="G96" s="52">
        <v>35915</v>
      </c>
      <c r="H96" s="46">
        <v>37741</v>
      </c>
      <c r="I96" s="3"/>
      <c r="J96" s="34" t="s">
        <v>634</v>
      </c>
      <c r="K96" s="40">
        <v>12573.248</v>
      </c>
      <c r="L96" s="21"/>
      <c r="M96" s="47" t="s">
        <v>601</v>
      </c>
      <c r="N96" s="27"/>
      <c r="O96" s="40">
        <f t="shared" si="4"/>
        <v>12573.248</v>
      </c>
      <c r="P96" s="21"/>
    </row>
    <row r="97" spans="3:16" ht="15.75" customHeight="1">
      <c r="C97" s="43" t="s">
        <v>487</v>
      </c>
      <c r="D97" s="48" t="s">
        <v>642</v>
      </c>
      <c r="E97" s="90" t="s">
        <v>488</v>
      </c>
      <c r="F97" s="159"/>
      <c r="G97" s="52">
        <v>37011</v>
      </c>
      <c r="H97" s="46">
        <v>37741</v>
      </c>
      <c r="I97" s="3"/>
      <c r="J97" s="34" t="s">
        <v>634</v>
      </c>
      <c r="K97" s="40">
        <v>13338.528</v>
      </c>
      <c r="L97" s="21"/>
      <c r="M97" s="47" t="s">
        <v>601</v>
      </c>
      <c r="N97" s="27"/>
      <c r="O97" s="40">
        <f>K97-M97</f>
        <v>13338.528</v>
      </c>
      <c r="P97" s="21"/>
    </row>
    <row r="98" spans="3:16" ht="15.75" customHeight="1">
      <c r="C98" s="89" t="s">
        <v>149</v>
      </c>
      <c r="D98" s="90" t="s">
        <v>644</v>
      </c>
      <c r="E98" s="90" t="s">
        <v>622</v>
      </c>
      <c r="F98" s="159"/>
      <c r="G98" s="52">
        <v>35947</v>
      </c>
      <c r="H98" s="46">
        <v>37772</v>
      </c>
      <c r="I98" s="3"/>
      <c r="J98" s="137" t="s">
        <v>641</v>
      </c>
      <c r="K98" s="40">
        <v>13132.243</v>
      </c>
      <c r="L98" s="21"/>
      <c r="M98" s="47" t="s">
        <v>601</v>
      </c>
      <c r="N98" s="27"/>
      <c r="O98" s="40">
        <f t="shared" si="4"/>
        <v>13132.243</v>
      </c>
      <c r="P98" s="21"/>
    </row>
    <row r="99" spans="3:16" ht="15.75" customHeight="1">
      <c r="C99" s="43" t="s">
        <v>435</v>
      </c>
      <c r="D99" s="48" t="s">
        <v>645</v>
      </c>
      <c r="E99" s="90" t="s">
        <v>667</v>
      </c>
      <c r="F99" s="159"/>
      <c r="G99" s="52">
        <v>37042</v>
      </c>
      <c r="H99" s="46">
        <v>37772</v>
      </c>
      <c r="I99" s="3"/>
      <c r="J99" s="34" t="s">
        <v>641</v>
      </c>
      <c r="K99" s="40">
        <v>13331.937</v>
      </c>
      <c r="L99" s="21"/>
      <c r="M99" s="47" t="s">
        <v>601</v>
      </c>
      <c r="N99" s="27"/>
      <c r="O99" s="40">
        <f>K99-M99</f>
        <v>13331.937</v>
      </c>
      <c r="P99" s="21"/>
    </row>
    <row r="100" spans="3:16" ht="15.75" customHeight="1">
      <c r="C100" s="89" t="s">
        <v>150</v>
      </c>
      <c r="D100" s="90" t="s">
        <v>653</v>
      </c>
      <c r="E100" s="90" t="s">
        <v>661</v>
      </c>
      <c r="F100" s="159"/>
      <c r="G100" s="52">
        <v>35976</v>
      </c>
      <c r="H100" s="46">
        <v>37802</v>
      </c>
      <c r="I100" s="3"/>
      <c r="J100" s="137" t="s">
        <v>609</v>
      </c>
      <c r="K100" s="40">
        <v>13126.779</v>
      </c>
      <c r="L100" s="21"/>
      <c r="M100" s="47" t="s">
        <v>601</v>
      </c>
      <c r="N100" s="27"/>
      <c r="O100" s="40">
        <f t="shared" si="4"/>
        <v>13126.779</v>
      </c>
      <c r="P100" s="21"/>
    </row>
    <row r="101" spans="3:16" ht="15.75" customHeight="1">
      <c r="C101" s="89" t="s">
        <v>70</v>
      </c>
      <c r="D101" s="90" t="s">
        <v>650</v>
      </c>
      <c r="E101" s="90" t="s">
        <v>324</v>
      </c>
      <c r="F101" s="159"/>
      <c r="G101" s="52">
        <v>37074</v>
      </c>
      <c r="H101" s="46">
        <v>37802</v>
      </c>
      <c r="I101" s="3"/>
      <c r="J101" s="34" t="s">
        <v>609</v>
      </c>
      <c r="K101" s="40">
        <v>14671.07</v>
      </c>
      <c r="L101" s="21"/>
      <c r="M101" s="47" t="s">
        <v>601</v>
      </c>
      <c r="N101" s="27"/>
      <c r="O101" s="40">
        <f t="shared" si="4"/>
        <v>14671.07</v>
      </c>
      <c r="P101" s="21"/>
    </row>
    <row r="102" spans="3:16" ht="15.75" customHeight="1">
      <c r="C102" s="89" t="s">
        <v>67</v>
      </c>
      <c r="D102" s="90" t="s">
        <v>651</v>
      </c>
      <c r="E102" s="90" t="s">
        <v>324</v>
      </c>
      <c r="F102" s="159"/>
      <c r="G102" s="52">
        <v>37103</v>
      </c>
      <c r="H102" s="46">
        <v>37833</v>
      </c>
      <c r="I102" s="3"/>
      <c r="J102" s="137" t="s">
        <v>615</v>
      </c>
      <c r="K102" s="40">
        <v>16003.27</v>
      </c>
      <c r="L102" s="21"/>
      <c r="M102" s="47" t="s">
        <v>601</v>
      </c>
      <c r="N102" s="27"/>
      <c r="O102" s="40">
        <f>K102-M102</f>
        <v>16003.27</v>
      </c>
      <c r="P102" s="21"/>
    </row>
    <row r="103" spans="3:16" ht="15.75" customHeight="1">
      <c r="C103" s="43" t="s">
        <v>151</v>
      </c>
      <c r="D103" s="48" t="s">
        <v>635</v>
      </c>
      <c r="E103" s="48" t="s">
        <v>610</v>
      </c>
      <c r="F103" s="159"/>
      <c r="G103" s="52">
        <v>34197</v>
      </c>
      <c r="H103" s="46">
        <v>37848</v>
      </c>
      <c r="I103" s="3"/>
      <c r="J103" s="34" t="s">
        <v>619</v>
      </c>
      <c r="K103" s="40">
        <v>28011.028</v>
      </c>
      <c r="L103" s="21"/>
      <c r="M103" s="47" t="s">
        <v>601</v>
      </c>
      <c r="N103" s="27"/>
      <c r="O103" s="40">
        <f t="shared" si="4"/>
        <v>28011.028</v>
      </c>
      <c r="P103" s="21"/>
    </row>
    <row r="104" spans="3:16" ht="15.75" customHeight="1">
      <c r="C104" s="89" t="s">
        <v>152</v>
      </c>
      <c r="D104" s="90" t="s">
        <v>614</v>
      </c>
      <c r="E104" s="90" t="s">
        <v>665</v>
      </c>
      <c r="F104" s="159"/>
      <c r="G104" s="52">
        <v>36024</v>
      </c>
      <c r="H104" s="46">
        <v>37848</v>
      </c>
      <c r="I104" s="3"/>
      <c r="J104" s="34" t="s">
        <v>619</v>
      </c>
      <c r="K104" s="40">
        <v>19852.263</v>
      </c>
      <c r="L104" s="21"/>
      <c r="M104" s="47" t="s">
        <v>601</v>
      </c>
      <c r="N104" s="27"/>
      <c r="O104" s="40">
        <f t="shared" si="4"/>
        <v>19852.263</v>
      </c>
      <c r="P104" s="21"/>
    </row>
    <row r="105" spans="3:16" ht="15.75" customHeight="1">
      <c r="C105" s="43" t="s">
        <v>36</v>
      </c>
      <c r="D105" s="48" t="s">
        <v>654</v>
      </c>
      <c r="E105" s="90" t="s">
        <v>699</v>
      </c>
      <c r="F105" s="159"/>
      <c r="G105" s="52">
        <v>37134</v>
      </c>
      <c r="H105" s="46">
        <v>37864</v>
      </c>
      <c r="I105" s="3"/>
      <c r="J105" s="34" t="s">
        <v>619</v>
      </c>
      <c r="K105" s="40">
        <v>18665.038</v>
      </c>
      <c r="L105" s="21"/>
      <c r="M105" s="47" t="s">
        <v>601</v>
      </c>
      <c r="N105" s="27"/>
      <c r="O105" s="40">
        <f>K105-M105</f>
        <v>18665.038</v>
      </c>
      <c r="P105" s="21"/>
    </row>
    <row r="106" spans="3:16" ht="15.75" customHeight="1">
      <c r="C106" s="43" t="s">
        <v>748</v>
      </c>
      <c r="D106" s="48" t="s">
        <v>660</v>
      </c>
      <c r="E106" s="145" t="s">
        <v>750</v>
      </c>
      <c r="F106" s="159"/>
      <c r="G106" s="52">
        <v>37165</v>
      </c>
      <c r="H106" s="46">
        <v>37894</v>
      </c>
      <c r="I106" s="3"/>
      <c r="J106" s="34" t="s">
        <v>626</v>
      </c>
      <c r="K106" s="40">
        <v>22675.482</v>
      </c>
      <c r="L106" s="21"/>
      <c r="M106" s="47" t="s">
        <v>601</v>
      </c>
      <c r="N106" s="27"/>
      <c r="O106" s="40">
        <f>K106-M106</f>
        <v>22675.482</v>
      </c>
      <c r="P106" s="21"/>
    </row>
    <row r="107" spans="3:16" ht="15.75" customHeight="1">
      <c r="C107" s="435" t="s">
        <v>749</v>
      </c>
      <c r="D107" s="48" t="s">
        <v>608</v>
      </c>
      <c r="E107" s="90" t="s">
        <v>750</v>
      </c>
      <c r="F107" s="159"/>
      <c r="G107" s="52">
        <v>37195</v>
      </c>
      <c r="H107" s="46">
        <v>37925</v>
      </c>
      <c r="I107" s="3"/>
      <c r="J107" s="34" t="s">
        <v>634</v>
      </c>
      <c r="K107" s="40">
        <v>25147.96</v>
      </c>
      <c r="L107" s="21"/>
      <c r="M107" s="47" t="s">
        <v>601</v>
      </c>
      <c r="N107" s="27"/>
      <c r="O107" s="40">
        <f>K107-M107</f>
        <v>25147.96</v>
      </c>
      <c r="P107" s="21"/>
    </row>
    <row r="108" spans="3:16" ht="15.75" customHeight="1">
      <c r="C108" s="89" t="s">
        <v>153</v>
      </c>
      <c r="D108" s="48" t="s">
        <v>621</v>
      </c>
      <c r="E108" s="90" t="s">
        <v>667</v>
      </c>
      <c r="F108" s="159"/>
      <c r="G108" s="52">
        <v>36115</v>
      </c>
      <c r="H108" s="46">
        <v>37940</v>
      </c>
      <c r="I108" s="3"/>
      <c r="J108" s="34" t="s">
        <v>637</v>
      </c>
      <c r="K108" s="40">
        <v>18625.785</v>
      </c>
      <c r="L108" s="21"/>
      <c r="M108" s="47" t="s">
        <v>601</v>
      </c>
      <c r="N108" s="27"/>
      <c r="O108" s="40">
        <f t="shared" si="4"/>
        <v>18625.785</v>
      </c>
      <c r="P108" s="123"/>
    </row>
    <row r="109" spans="3:16" ht="15.75" customHeight="1">
      <c r="C109" s="435" t="s">
        <v>130</v>
      </c>
      <c r="D109" s="48" t="s">
        <v>620</v>
      </c>
      <c r="E109" s="90" t="s">
        <v>131</v>
      </c>
      <c r="F109" s="159"/>
      <c r="G109" s="52">
        <v>37225</v>
      </c>
      <c r="H109" s="46">
        <v>37955</v>
      </c>
      <c r="I109" s="3"/>
      <c r="J109" s="34" t="s">
        <v>641</v>
      </c>
      <c r="K109" s="40">
        <v>26170.526</v>
      </c>
      <c r="L109" s="21"/>
      <c r="M109" s="47" t="s">
        <v>601</v>
      </c>
      <c r="N109" s="27"/>
      <c r="O109" s="40">
        <f>K109-M109</f>
        <v>26170.526</v>
      </c>
      <c r="P109" s="21"/>
    </row>
    <row r="110" spans="3:16" ht="15.75" customHeight="1">
      <c r="C110" s="43" t="s">
        <v>283</v>
      </c>
      <c r="D110" s="48" t="s">
        <v>638</v>
      </c>
      <c r="E110" s="90" t="s">
        <v>284</v>
      </c>
      <c r="F110" s="159"/>
      <c r="G110" s="52">
        <v>37256</v>
      </c>
      <c r="H110" s="46">
        <v>37986</v>
      </c>
      <c r="I110" s="3"/>
      <c r="J110" s="137" t="s">
        <v>609</v>
      </c>
      <c r="K110" s="40">
        <v>29666.988</v>
      </c>
      <c r="L110" s="21"/>
      <c r="M110" s="47" t="s">
        <v>601</v>
      </c>
      <c r="N110" s="27"/>
      <c r="O110" s="40">
        <f>K110-M110</f>
        <v>29666.988</v>
      </c>
      <c r="P110" s="21"/>
    </row>
    <row r="111" spans="3:16" ht="15.75" customHeight="1">
      <c r="C111" s="43" t="s">
        <v>44</v>
      </c>
      <c r="D111" s="48" t="s">
        <v>614</v>
      </c>
      <c r="E111" s="90">
        <v>3</v>
      </c>
      <c r="F111" s="159"/>
      <c r="G111" s="52">
        <v>37287</v>
      </c>
      <c r="H111" s="46">
        <v>38017</v>
      </c>
      <c r="I111" s="3"/>
      <c r="J111" s="137" t="s">
        <v>45</v>
      </c>
      <c r="K111" s="40">
        <v>30775.555</v>
      </c>
      <c r="L111" s="21"/>
      <c r="M111" s="47" t="s">
        <v>601</v>
      </c>
      <c r="N111" s="27"/>
      <c r="O111" s="40">
        <f>K111-M111</f>
        <v>30775.555</v>
      </c>
      <c r="P111" s="21"/>
    </row>
    <row r="112" spans="3:16" ht="15.75" customHeight="1">
      <c r="C112" s="43" t="s">
        <v>154</v>
      </c>
      <c r="D112" s="48" t="s">
        <v>617</v>
      </c>
      <c r="E112" s="48" t="s">
        <v>616</v>
      </c>
      <c r="F112" s="159"/>
      <c r="G112" s="52">
        <v>34380</v>
      </c>
      <c r="H112" s="46">
        <v>38032</v>
      </c>
      <c r="I112" s="3"/>
      <c r="J112" s="34" t="s">
        <v>619</v>
      </c>
      <c r="K112" s="40">
        <v>12955.077</v>
      </c>
      <c r="L112" s="21"/>
      <c r="M112" s="47" t="s">
        <v>601</v>
      </c>
      <c r="N112" s="27"/>
      <c r="O112" s="40">
        <f t="shared" si="4"/>
        <v>12955.077</v>
      </c>
      <c r="P112" s="21"/>
    </row>
    <row r="113" spans="3:16" ht="15.75" customHeight="1">
      <c r="C113" s="89" t="s">
        <v>155</v>
      </c>
      <c r="D113" s="48" t="s">
        <v>611</v>
      </c>
      <c r="E113" s="90" t="s">
        <v>669</v>
      </c>
      <c r="F113" s="159"/>
      <c r="G113" s="52">
        <v>36207</v>
      </c>
      <c r="H113" s="46">
        <v>38032</v>
      </c>
      <c r="I113" s="3"/>
      <c r="J113" s="34" t="s">
        <v>619</v>
      </c>
      <c r="K113" s="40">
        <v>17823.228</v>
      </c>
      <c r="L113" s="21"/>
      <c r="M113" s="47" t="s">
        <v>601</v>
      </c>
      <c r="N113" s="27"/>
      <c r="O113" s="40">
        <f t="shared" si="4"/>
        <v>17823.228</v>
      </c>
      <c r="P113" s="21"/>
    </row>
    <row r="114" spans="3:16" ht="15.75" customHeight="1">
      <c r="C114" s="89" t="s">
        <v>97</v>
      </c>
      <c r="D114" s="48" t="s">
        <v>621</v>
      </c>
      <c r="E114" s="90">
        <v>3</v>
      </c>
      <c r="F114" s="159"/>
      <c r="G114" s="52">
        <v>37315</v>
      </c>
      <c r="H114" s="46">
        <v>38046</v>
      </c>
      <c r="I114" s="3"/>
      <c r="J114" s="34" t="s">
        <v>623</v>
      </c>
      <c r="K114" s="40">
        <v>31746.077</v>
      </c>
      <c r="L114" s="21"/>
      <c r="M114" s="47" t="s">
        <v>601</v>
      </c>
      <c r="N114" s="27"/>
      <c r="O114" s="40">
        <f>K114-M114</f>
        <v>31746.077</v>
      </c>
      <c r="P114" s="21"/>
    </row>
    <row r="115" spans="3:16" ht="15.75" customHeight="1">
      <c r="C115" s="43" t="s">
        <v>156</v>
      </c>
      <c r="D115" s="48" t="s">
        <v>635</v>
      </c>
      <c r="E115" s="48" t="s">
        <v>668</v>
      </c>
      <c r="F115" s="159"/>
      <c r="G115" s="52">
        <v>34470</v>
      </c>
      <c r="H115" s="46">
        <v>38122</v>
      </c>
      <c r="I115" s="3"/>
      <c r="J115" s="34" t="s">
        <v>637</v>
      </c>
      <c r="K115" s="40">
        <v>14440.372</v>
      </c>
      <c r="L115" s="21"/>
      <c r="M115" s="47" t="s">
        <v>601</v>
      </c>
      <c r="N115" s="27"/>
      <c r="O115" s="40">
        <f t="shared" si="4"/>
        <v>14440.372</v>
      </c>
      <c r="P115" s="21"/>
    </row>
    <row r="116" spans="3:16" ht="15.75" customHeight="1">
      <c r="C116" s="43" t="s">
        <v>157</v>
      </c>
      <c r="D116" s="48" t="s">
        <v>629</v>
      </c>
      <c r="E116" s="156" t="s">
        <v>665</v>
      </c>
      <c r="F116" s="159"/>
      <c r="G116" s="52">
        <v>36297</v>
      </c>
      <c r="H116" s="46">
        <v>38122</v>
      </c>
      <c r="I116" s="3"/>
      <c r="J116" s="34" t="s">
        <v>637</v>
      </c>
      <c r="K116" s="40">
        <v>18925.383</v>
      </c>
      <c r="L116" s="21"/>
      <c r="M116" s="47" t="s">
        <v>601</v>
      </c>
      <c r="N116" s="27"/>
      <c r="O116" s="40">
        <f t="shared" si="4"/>
        <v>18925.383</v>
      </c>
      <c r="P116" s="21"/>
    </row>
    <row r="117" spans="3:16" ht="15.75" customHeight="1">
      <c r="C117" s="43" t="s">
        <v>158</v>
      </c>
      <c r="D117" s="48" t="s">
        <v>647</v>
      </c>
      <c r="E117" s="48" t="s">
        <v>668</v>
      </c>
      <c r="F117" s="159"/>
      <c r="G117" s="52">
        <v>34561</v>
      </c>
      <c r="H117" s="46">
        <v>38214</v>
      </c>
      <c r="I117" s="3"/>
      <c r="J117" s="34" t="s">
        <v>619</v>
      </c>
      <c r="K117" s="40">
        <v>13346.467</v>
      </c>
      <c r="L117" s="21"/>
      <c r="M117" s="47" t="s">
        <v>601</v>
      </c>
      <c r="N117" s="27"/>
      <c r="O117" s="40">
        <f t="shared" si="4"/>
        <v>13346.467</v>
      </c>
      <c r="P117" s="21"/>
    </row>
    <row r="118" spans="3:16" ht="15.75" customHeight="1">
      <c r="C118" s="43" t="s">
        <v>159</v>
      </c>
      <c r="D118" s="48" t="s">
        <v>644</v>
      </c>
      <c r="E118" s="90" t="s">
        <v>643</v>
      </c>
      <c r="F118" s="159"/>
      <c r="G118" s="52">
        <v>36388</v>
      </c>
      <c r="H118" s="46">
        <v>38214</v>
      </c>
      <c r="I118" s="3"/>
      <c r="J118" s="34" t="s">
        <v>619</v>
      </c>
      <c r="K118" s="40">
        <v>18089.806</v>
      </c>
      <c r="L118" s="21"/>
      <c r="M118" s="47" t="s">
        <v>601</v>
      </c>
      <c r="N118" s="27"/>
      <c r="O118" s="40">
        <f t="shared" si="4"/>
        <v>18089.806</v>
      </c>
      <c r="P118" s="21"/>
    </row>
    <row r="119" spans="3:16" ht="15.75" customHeight="1">
      <c r="C119" s="43" t="s">
        <v>160</v>
      </c>
      <c r="D119" s="48" t="s">
        <v>657</v>
      </c>
      <c r="E119" s="48" t="s">
        <v>658</v>
      </c>
      <c r="F119" s="159"/>
      <c r="G119" s="52">
        <v>34653</v>
      </c>
      <c r="H119" s="46">
        <v>38306</v>
      </c>
      <c r="I119" s="3"/>
      <c r="J119" s="34" t="s">
        <v>637</v>
      </c>
      <c r="K119" s="40">
        <v>14373.76</v>
      </c>
      <c r="L119" s="21"/>
      <c r="M119" s="47" t="s">
        <v>601</v>
      </c>
      <c r="N119" s="27"/>
      <c r="O119" s="40">
        <f t="shared" si="4"/>
        <v>14373.76</v>
      </c>
      <c r="P119" s="21"/>
    </row>
    <row r="120" spans="3:16" ht="15.75" customHeight="1">
      <c r="C120" s="43" t="s">
        <v>161</v>
      </c>
      <c r="D120" s="48" t="s">
        <v>653</v>
      </c>
      <c r="E120" s="48" t="s">
        <v>616</v>
      </c>
      <c r="F120" s="159"/>
      <c r="G120" s="52">
        <v>36479</v>
      </c>
      <c r="H120" s="46">
        <v>38306</v>
      </c>
      <c r="I120" s="3"/>
      <c r="J120" s="34" t="s">
        <v>637</v>
      </c>
      <c r="K120" s="40">
        <v>32658.145</v>
      </c>
      <c r="L120" s="21"/>
      <c r="M120" s="47" t="s">
        <v>601</v>
      </c>
      <c r="N120" s="27"/>
      <c r="O120" s="40">
        <f t="shared" si="4"/>
        <v>32658.145</v>
      </c>
      <c r="P120" s="21"/>
    </row>
    <row r="121" spans="3:16" ht="15.75" customHeight="1">
      <c r="C121" s="43" t="s">
        <v>162</v>
      </c>
      <c r="D121" s="48" t="s">
        <v>617</v>
      </c>
      <c r="E121" s="48" t="s">
        <v>655</v>
      </c>
      <c r="F121" s="159"/>
      <c r="G121" s="52">
        <v>34745</v>
      </c>
      <c r="H121" s="46">
        <v>38398</v>
      </c>
      <c r="I121" s="3"/>
      <c r="J121" s="34" t="s">
        <v>619</v>
      </c>
      <c r="K121" s="40">
        <v>13834.754</v>
      </c>
      <c r="L121" s="21"/>
      <c r="M121" s="47" t="s">
        <v>601</v>
      </c>
      <c r="N121" s="27"/>
      <c r="O121" s="40">
        <f t="shared" si="4"/>
        <v>13834.754</v>
      </c>
      <c r="P121" s="21"/>
    </row>
    <row r="122" spans="3:16" ht="15.75" customHeight="1">
      <c r="C122" s="43" t="s">
        <v>163</v>
      </c>
      <c r="D122" s="48" t="s">
        <v>635</v>
      </c>
      <c r="E122" s="48" t="s">
        <v>633</v>
      </c>
      <c r="F122" s="159"/>
      <c r="G122" s="52">
        <v>34834</v>
      </c>
      <c r="H122" s="46">
        <v>38487</v>
      </c>
      <c r="I122" s="3"/>
      <c r="J122" s="34" t="s">
        <v>637</v>
      </c>
      <c r="K122" s="40">
        <v>14739.504</v>
      </c>
      <c r="L122" s="21"/>
      <c r="M122" s="47" t="s">
        <v>601</v>
      </c>
      <c r="N122" s="27"/>
      <c r="O122" s="40">
        <f t="shared" si="4"/>
        <v>14739.504</v>
      </c>
      <c r="P122" s="21"/>
    </row>
    <row r="123" spans="3:16" ht="15.75" customHeight="1">
      <c r="C123" s="43" t="s">
        <v>164</v>
      </c>
      <c r="D123" s="48" t="s">
        <v>611</v>
      </c>
      <c r="E123" s="90" t="s">
        <v>640</v>
      </c>
      <c r="F123" s="159"/>
      <c r="G123" s="52">
        <v>36661</v>
      </c>
      <c r="H123" s="46">
        <v>38487</v>
      </c>
      <c r="I123" s="3"/>
      <c r="J123" s="34" t="s">
        <v>637</v>
      </c>
      <c r="K123" s="40">
        <v>28562.37</v>
      </c>
      <c r="L123" s="21"/>
      <c r="M123" s="47" t="s">
        <v>601</v>
      </c>
      <c r="N123" s="27"/>
      <c r="O123" s="40">
        <f t="shared" si="4"/>
        <v>28562.37</v>
      </c>
      <c r="P123" s="21"/>
    </row>
    <row r="124" spans="3:16" ht="15.75" customHeight="1">
      <c r="C124" s="43" t="s">
        <v>165</v>
      </c>
      <c r="D124" s="48" t="s">
        <v>647</v>
      </c>
      <c r="E124" s="48" t="s">
        <v>633</v>
      </c>
      <c r="F124" s="159"/>
      <c r="G124" s="52">
        <v>34926</v>
      </c>
      <c r="H124" s="46">
        <v>38579</v>
      </c>
      <c r="I124" s="3"/>
      <c r="J124" s="34" t="s">
        <v>619</v>
      </c>
      <c r="K124" s="40">
        <v>15002.58</v>
      </c>
      <c r="L124" s="21"/>
      <c r="M124" s="47" t="s">
        <v>601</v>
      </c>
      <c r="N124" s="27"/>
      <c r="O124" s="40">
        <f t="shared" si="4"/>
        <v>15002.58</v>
      </c>
      <c r="P124" s="21"/>
    </row>
    <row r="125" spans="3:16" ht="15.75" customHeight="1">
      <c r="C125" s="43" t="s">
        <v>166</v>
      </c>
      <c r="D125" s="48" t="s">
        <v>657</v>
      </c>
      <c r="E125" s="48" t="s">
        <v>616</v>
      </c>
      <c r="F125" s="159"/>
      <c r="G125" s="52">
        <v>35027</v>
      </c>
      <c r="H125" s="46">
        <v>38671</v>
      </c>
      <c r="I125" s="3"/>
      <c r="J125" s="34" t="s">
        <v>637</v>
      </c>
      <c r="K125" s="40">
        <v>15209.92</v>
      </c>
      <c r="L125" s="21"/>
      <c r="M125" s="47" t="s">
        <v>601</v>
      </c>
      <c r="N125" s="27"/>
      <c r="O125" s="40">
        <f t="shared" si="4"/>
        <v>15209.92</v>
      </c>
      <c r="P125" s="21"/>
    </row>
    <row r="126" spans="3:16" ht="15.75" customHeight="1">
      <c r="C126" s="43" t="s">
        <v>167</v>
      </c>
      <c r="D126" s="48" t="s">
        <v>629</v>
      </c>
      <c r="E126" s="90" t="s">
        <v>610</v>
      </c>
      <c r="F126" s="159"/>
      <c r="G126" s="52">
        <v>36845</v>
      </c>
      <c r="H126" s="46">
        <v>38671</v>
      </c>
      <c r="I126" s="3"/>
      <c r="J126" s="34" t="s">
        <v>637</v>
      </c>
      <c r="K126" s="40">
        <v>28062.797</v>
      </c>
      <c r="L126" s="21"/>
      <c r="M126" s="47" t="s">
        <v>601</v>
      </c>
      <c r="N126" s="27"/>
      <c r="O126" s="40">
        <f t="shared" si="4"/>
        <v>28062.797</v>
      </c>
      <c r="P126" s="21"/>
    </row>
    <row r="127" spans="3:16" ht="15.75" customHeight="1">
      <c r="C127" s="43" t="s">
        <v>168</v>
      </c>
      <c r="D127" s="48" t="s">
        <v>617</v>
      </c>
      <c r="E127" s="48" t="s">
        <v>656</v>
      </c>
      <c r="F127" s="159"/>
      <c r="G127" s="52">
        <v>35110</v>
      </c>
      <c r="H127" s="46">
        <v>38763</v>
      </c>
      <c r="I127" s="3"/>
      <c r="J127" s="34" t="s">
        <v>619</v>
      </c>
      <c r="K127" s="40">
        <v>15513.587</v>
      </c>
      <c r="L127" s="21"/>
      <c r="M127" s="47" t="s">
        <v>601</v>
      </c>
      <c r="N127" s="27"/>
      <c r="O127" s="40">
        <f t="shared" si="4"/>
        <v>15513.587</v>
      </c>
      <c r="P127" s="21"/>
    </row>
    <row r="128" spans="3:16" ht="15.75" customHeight="1">
      <c r="C128" s="43" t="s">
        <v>169</v>
      </c>
      <c r="D128" s="48" t="s">
        <v>635</v>
      </c>
      <c r="E128" s="48" t="s">
        <v>646</v>
      </c>
      <c r="F128" s="159"/>
      <c r="G128" s="52">
        <v>35200</v>
      </c>
      <c r="H128" s="46">
        <v>38852</v>
      </c>
      <c r="I128" s="3"/>
      <c r="J128" s="34" t="s">
        <v>637</v>
      </c>
      <c r="K128" s="40">
        <v>16015.475</v>
      </c>
      <c r="L128" s="21"/>
      <c r="M128" s="47" t="s">
        <v>601</v>
      </c>
      <c r="N128" s="27"/>
      <c r="O128" s="40">
        <f aca="true" t="shared" si="5" ref="O128:O138">K128+M128</f>
        <v>16015.475</v>
      </c>
      <c r="P128" s="21"/>
    </row>
    <row r="129" spans="3:16" ht="15.75" customHeight="1">
      <c r="C129" s="43" t="s">
        <v>61</v>
      </c>
      <c r="D129" s="48" t="s">
        <v>611</v>
      </c>
      <c r="E129" s="90" t="s">
        <v>104</v>
      </c>
      <c r="F129" s="159"/>
      <c r="G129" s="52">
        <v>37026</v>
      </c>
      <c r="H129" s="46">
        <v>38852</v>
      </c>
      <c r="I129" s="3"/>
      <c r="J129" s="34" t="s">
        <v>637</v>
      </c>
      <c r="K129" s="40">
        <v>27797.852</v>
      </c>
      <c r="L129" s="21"/>
      <c r="M129" s="47" t="s">
        <v>601</v>
      </c>
      <c r="N129" s="27"/>
      <c r="O129" s="40">
        <f>K129+M129</f>
        <v>27797.852</v>
      </c>
      <c r="P129" s="21"/>
    </row>
    <row r="130" spans="3:16" ht="15.75" customHeight="1">
      <c r="C130" s="43" t="s">
        <v>170</v>
      </c>
      <c r="D130" s="48" t="s">
        <v>647</v>
      </c>
      <c r="E130" s="48" t="s">
        <v>630</v>
      </c>
      <c r="F130" s="159"/>
      <c r="G130" s="52">
        <v>35261</v>
      </c>
      <c r="H130" s="46">
        <v>38913</v>
      </c>
      <c r="I130" s="3"/>
      <c r="J130" s="34" t="s">
        <v>613</v>
      </c>
      <c r="K130" s="40">
        <v>22740.446</v>
      </c>
      <c r="L130" s="21"/>
      <c r="M130" s="47" t="s">
        <v>601</v>
      </c>
      <c r="N130" s="27"/>
      <c r="O130" s="40">
        <f t="shared" si="5"/>
        <v>22740.446</v>
      </c>
      <c r="P130" s="21"/>
    </row>
    <row r="131" spans="3:16" ht="15.75" customHeight="1">
      <c r="C131" s="43" t="s">
        <v>171</v>
      </c>
      <c r="D131" s="48" t="s">
        <v>657</v>
      </c>
      <c r="E131" s="48" t="s">
        <v>633</v>
      </c>
      <c r="F131" s="159"/>
      <c r="G131" s="52">
        <v>35353</v>
      </c>
      <c r="H131" s="91">
        <v>39005</v>
      </c>
      <c r="I131" s="3"/>
      <c r="J131" s="34" t="s">
        <v>631</v>
      </c>
      <c r="K131" s="40">
        <v>22459.675</v>
      </c>
      <c r="L131" s="21"/>
      <c r="M131" s="47" t="s">
        <v>601</v>
      </c>
      <c r="N131" s="27"/>
      <c r="O131" s="40">
        <f t="shared" si="5"/>
        <v>22459.675</v>
      </c>
      <c r="P131" s="21"/>
    </row>
    <row r="132" spans="3:16" ht="15.75" customHeight="1">
      <c r="C132" s="43" t="s">
        <v>778</v>
      </c>
      <c r="D132" s="48" t="s">
        <v>629</v>
      </c>
      <c r="E132" s="145" t="s">
        <v>711</v>
      </c>
      <c r="F132" s="159"/>
      <c r="G132" s="52">
        <v>37210</v>
      </c>
      <c r="H132" s="91">
        <v>39036</v>
      </c>
      <c r="I132" s="3"/>
      <c r="J132" s="34" t="s">
        <v>637</v>
      </c>
      <c r="K132" s="40">
        <v>35380.129</v>
      </c>
      <c r="L132" s="21"/>
      <c r="M132" s="47" t="s">
        <v>601</v>
      </c>
      <c r="N132" s="27"/>
      <c r="O132" s="40">
        <f>K132+M132</f>
        <v>35380.129</v>
      </c>
      <c r="P132" s="21"/>
    </row>
    <row r="133" spans="3:16" ht="15.75" customHeight="1">
      <c r="C133" s="43" t="s">
        <v>172</v>
      </c>
      <c r="D133" s="48" t="s">
        <v>635</v>
      </c>
      <c r="E133" s="48" t="s">
        <v>628</v>
      </c>
      <c r="F133" s="159"/>
      <c r="G133" s="52">
        <v>35479</v>
      </c>
      <c r="H133" s="91">
        <v>39128</v>
      </c>
      <c r="I133" s="3"/>
      <c r="J133" s="34" t="s">
        <v>619</v>
      </c>
      <c r="K133" s="40">
        <v>13103.678</v>
      </c>
      <c r="L133" s="21"/>
      <c r="M133" s="47" t="s">
        <v>601</v>
      </c>
      <c r="N133" s="27"/>
      <c r="O133" s="40">
        <f t="shared" si="5"/>
        <v>13103.678</v>
      </c>
      <c r="P133" s="21"/>
    </row>
    <row r="134" spans="3:16" ht="15.75" customHeight="1">
      <c r="C134" s="43" t="s">
        <v>173</v>
      </c>
      <c r="D134" s="48" t="s">
        <v>647</v>
      </c>
      <c r="E134" s="48" t="s">
        <v>666</v>
      </c>
      <c r="F134" s="159"/>
      <c r="G134" s="52">
        <v>35565</v>
      </c>
      <c r="H134" s="91">
        <v>39217</v>
      </c>
      <c r="I134" s="3"/>
      <c r="J134" s="34" t="s">
        <v>637</v>
      </c>
      <c r="K134" s="40">
        <v>13958.186</v>
      </c>
      <c r="L134" s="21"/>
      <c r="M134" s="47" t="s">
        <v>601</v>
      </c>
      <c r="N134" s="27"/>
      <c r="O134" s="40">
        <f t="shared" si="5"/>
        <v>13958.186</v>
      </c>
      <c r="P134" s="21"/>
    </row>
    <row r="135" spans="3:16" ht="15.75" customHeight="1">
      <c r="C135" s="89" t="s">
        <v>174</v>
      </c>
      <c r="D135" s="48" t="s">
        <v>657</v>
      </c>
      <c r="E135" s="48" t="s">
        <v>663</v>
      </c>
      <c r="F135" s="159"/>
      <c r="G135" s="52">
        <v>35657</v>
      </c>
      <c r="H135" s="91">
        <v>39309</v>
      </c>
      <c r="I135" s="3"/>
      <c r="J135" s="34" t="s">
        <v>619</v>
      </c>
      <c r="K135" s="40">
        <v>25636.803</v>
      </c>
      <c r="L135" s="21"/>
      <c r="M135" s="47" t="s">
        <v>601</v>
      </c>
      <c r="N135" s="27"/>
      <c r="O135" s="40">
        <f t="shared" si="5"/>
        <v>25636.803</v>
      </c>
      <c r="P135" s="21"/>
    </row>
    <row r="136" spans="3:16" ht="15.75" customHeight="1">
      <c r="C136" s="89" t="s">
        <v>175</v>
      </c>
      <c r="D136" s="48" t="s">
        <v>635</v>
      </c>
      <c r="E136" s="90" t="s">
        <v>622</v>
      </c>
      <c r="F136" s="159"/>
      <c r="G136" s="52">
        <v>35843</v>
      </c>
      <c r="H136" s="91">
        <v>39493</v>
      </c>
      <c r="I136" s="3"/>
      <c r="J136" s="34" t="s">
        <v>619</v>
      </c>
      <c r="K136" s="40">
        <v>13583.412</v>
      </c>
      <c r="L136" s="21"/>
      <c r="M136" s="47" t="s">
        <v>601</v>
      </c>
      <c r="N136" s="27"/>
      <c r="O136" s="40">
        <f t="shared" si="5"/>
        <v>13583.412</v>
      </c>
      <c r="P136" s="21"/>
    </row>
    <row r="137" spans="3:16" ht="15.75" customHeight="1">
      <c r="C137" s="89" t="s">
        <v>176</v>
      </c>
      <c r="D137" s="48" t="s">
        <v>647</v>
      </c>
      <c r="E137" s="90" t="s">
        <v>656</v>
      </c>
      <c r="F137" s="159"/>
      <c r="G137" s="52">
        <v>35930</v>
      </c>
      <c r="H137" s="91">
        <v>39583</v>
      </c>
      <c r="I137" s="3"/>
      <c r="J137" s="34" t="s">
        <v>637</v>
      </c>
      <c r="K137" s="40">
        <v>27190.961</v>
      </c>
      <c r="L137" s="21"/>
      <c r="M137" s="47" t="s">
        <v>601</v>
      </c>
      <c r="N137" s="27"/>
      <c r="O137" s="40">
        <f t="shared" si="5"/>
        <v>27190.961</v>
      </c>
      <c r="P137" s="21"/>
    </row>
    <row r="138" spans="3:16" ht="15.75" customHeight="1">
      <c r="C138" s="89" t="s">
        <v>177</v>
      </c>
      <c r="D138" s="48" t="s">
        <v>657</v>
      </c>
      <c r="E138" s="90" t="s">
        <v>669</v>
      </c>
      <c r="F138" s="159"/>
      <c r="G138" s="52">
        <v>36115</v>
      </c>
      <c r="H138" s="91">
        <v>39767</v>
      </c>
      <c r="I138" s="3"/>
      <c r="J138" s="34" t="s">
        <v>637</v>
      </c>
      <c r="K138" s="40">
        <v>25083.125</v>
      </c>
      <c r="L138" s="21"/>
      <c r="M138" s="47" t="s">
        <v>601</v>
      </c>
      <c r="N138" s="27"/>
      <c r="O138" s="40">
        <f t="shared" si="5"/>
        <v>25083.125</v>
      </c>
      <c r="P138" s="21"/>
    </row>
    <row r="139" spans="3:16" ht="15.75" customHeight="1">
      <c r="C139" s="89" t="s">
        <v>178</v>
      </c>
      <c r="D139" s="48" t="s">
        <v>635</v>
      </c>
      <c r="E139" s="90" t="s">
        <v>622</v>
      </c>
      <c r="F139" s="159"/>
      <c r="G139" s="52">
        <v>36297</v>
      </c>
      <c r="H139" s="91">
        <v>39948</v>
      </c>
      <c r="I139" s="3"/>
      <c r="J139" s="34" t="s">
        <v>637</v>
      </c>
      <c r="K139" s="40">
        <v>14794.79</v>
      </c>
      <c r="L139" s="21"/>
      <c r="M139" s="47" t="s">
        <v>601</v>
      </c>
      <c r="N139" s="27"/>
      <c r="O139" s="40">
        <f aca="true" t="shared" si="6" ref="O139:O148">K139+M139</f>
        <v>14794.79</v>
      </c>
      <c r="P139" s="21"/>
    </row>
    <row r="140" spans="3:16" ht="15.75" customHeight="1">
      <c r="C140" s="89" t="s">
        <v>179</v>
      </c>
      <c r="D140" s="48" t="s">
        <v>647</v>
      </c>
      <c r="E140" s="90">
        <v>6</v>
      </c>
      <c r="F140" s="159"/>
      <c r="G140" s="52">
        <v>36388</v>
      </c>
      <c r="H140" s="91">
        <v>40040</v>
      </c>
      <c r="I140" s="3"/>
      <c r="J140" s="34" t="s">
        <v>619</v>
      </c>
      <c r="K140" s="40">
        <v>27399.894</v>
      </c>
      <c r="L140" s="21"/>
      <c r="M140" s="47" t="s">
        <v>601</v>
      </c>
      <c r="N140" s="27"/>
      <c r="O140" s="40">
        <f t="shared" si="6"/>
        <v>27399.894</v>
      </c>
      <c r="P140" s="21"/>
    </row>
    <row r="141" spans="3:16" ht="15.75" customHeight="1">
      <c r="C141" s="43" t="s">
        <v>180</v>
      </c>
      <c r="D141" s="48" t="s">
        <v>635</v>
      </c>
      <c r="E141" s="48" t="s">
        <v>633</v>
      </c>
      <c r="F141" s="159"/>
      <c r="G141" s="52">
        <v>36571</v>
      </c>
      <c r="H141" s="91">
        <v>40224</v>
      </c>
      <c r="I141" s="3"/>
      <c r="J141" s="34" t="s">
        <v>619</v>
      </c>
      <c r="K141" s="40">
        <v>23355.709</v>
      </c>
      <c r="L141" s="21"/>
      <c r="M141" s="47" t="s">
        <v>601</v>
      </c>
      <c r="N141" s="27"/>
      <c r="O141" s="40">
        <f t="shared" si="6"/>
        <v>23355.709</v>
      </c>
      <c r="P141" s="21"/>
    </row>
    <row r="142" spans="3:16" ht="15.75" customHeight="1">
      <c r="C142" s="43" t="s">
        <v>181</v>
      </c>
      <c r="D142" s="48" t="s">
        <v>647</v>
      </c>
      <c r="E142" s="90" t="s">
        <v>610</v>
      </c>
      <c r="F142" s="159"/>
      <c r="G142" s="52">
        <v>36753</v>
      </c>
      <c r="H142" s="91">
        <v>40405</v>
      </c>
      <c r="I142" s="3"/>
      <c r="J142" s="34" t="s">
        <v>619</v>
      </c>
      <c r="K142" s="40">
        <v>22437.594</v>
      </c>
      <c r="L142" s="21"/>
      <c r="M142" s="47" t="s">
        <v>601</v>
      </c>
      <c r="N142" s="27"/>
      <c r="O142" s="40">
        <f t="shared" si="6"/>
        <v>22437.594</v>
      </c>
      <c r="P142" s="21"/>
    </row>
    <row r="143" spans="3:16" ht="15.75" customHeight="1">
      <c r="C143" s="43" t="s">
        <v>128</v>
      </c>
      <c r="D143" s="48" t="s">
        <v>635</v>
      </c>
      <c r="E143" s="90">
        <v>5</v>
      </c>
      <c r="F143" s="159"/>
      <c r="G143" s="52">
        <v>36937</v>
      </c>
      <c r="H143" s="91">
        <v>40589</v>
      </c>
      <c r="I143" s="3"/>
      <c r="J143" s="34" t="s">
        <v>619</v>
      </c>
      <c r="K143" s="40">
        <v>23436.329</v>
      </c>
      <c r="L143" s="21"/>
      <c r="M143" s="47" t="s">
        <v>601</v>
      </c>
      <c r="N143" s="27"/>
      <c r="O143" s="40">
        <f t="shared" si="6"/>
        <v>23436.329</v>
      </c>
      <c r="P143" s="21"/>
    </row>
    <row r="144" spans="3:16" ht="15.75" customHeight="1">
      <c r="C144" s="43" t="s">
        <v>34</v>
      </c>
      <c r="D144" s="48" t="s">
        <v>647</v>
      </c>
      <c r="E144" s="90">
        <v>5</v>
      </c>
      <c r="F144" s="159"/>
      <c r="G144" s="52">
        <v>37118</v>
      </c>
      <c r="H144" s="91">
        <v>40770</v>
      </c>
      <c r="I144" s="3"/>
      <c r="J144" s="34" t="s">
        <v>619</v>
      </c>
      <c r="K144" s="40">
        <v>26635.316</v>
      </c>
      <c r="L144" s="21"/>
      <c r="M144" s="47" t="s">
        <v>601</v>
      </c>
      <c r="N144" s="27"/>
      <c r="O144" s="40">
        <f>K144+M144</f>
        <v>26635.316</v>
      </c>
      <c r="P144" s="21"/>
    </row>
    <row r="145" spans="3:16" ht="15.75" customHeight="1">
      <c r="C145" s="43" t="s">
        <v>100</v>
      </c>
      <c r="D145" s="48" t="s">
        <v>635</v>
      </c>
      <c r="E145" s="90" t="s">
        <v>101</v>
      </c>
      <c r="F145" s="159"/>
      <c r="G145" s="52">
        <v>37302</v>
      </c>
      <c r="H145" s="91">
        <v>40954</v>
      </c>
      <c r="I145" s="3"/>
      <c r="J145" s="34" t="s">
        <v>619</v>
      </c>
      <c r="K145" s="40">
        <v>13389.255</v>
      </c>
      <c r="L145" s="21"/>
      <c r="M145" s="47" t="s">
        <v>601</v>
      </c>
      <c r="N145" s="27"/>
      <c r="O145" s="40">
        <f>K145+M145</f>
        <v>13389.255</v>
      </c>
      <c r="P145" s="21"/>
    </row>
    <row r="146" spans="2:16" ht="15.75" customHeight="1">
      <c r="B146" s="9" t="s">
        <v>511</v>
      </c>
      <c r="F146" s="43"/>
      <c r="G146" s="16" t="s">
        <v>602</v>
      </c>
      <c r="H146" s="46" t="s">
        <v>603</v>
      </c>
      <c r="I146" s="3"/>
      <c r="J146" s="34" t="s">
        <v>604</v>
      </c>
      <c r="K146" s="56">
        <f>SUM(K60:K145)</f>
        <v>1411654.808</v>
      </c>
      <c r="L146" s="229"/>
      <c r="M146" s="230" t="s">
        <v>601</v>
      </c>
      <c r="N146" s="231"/>
      <c r="O146" s="237">
        <f t="shared" si="6"/>
        <v>1411654.808</v>
      </c>
      <c r="P146" s="229"/>
    </row>
    <row r="147" spans="2:16" ht="15.75" customHeight="1">
      <c r="B147" t="s">
        <v>512</v>
      </c>
      <c r="F147" s="65">
        <v>19</v>
      </c>
      <c r="G147" s="16" t="s">
        <v>602</v>
      </c>
      <c r="H147" s="46" t="s">
        <v>603</v>
      </c>
      <c r="I147" s="3"/>
      <c r="J147" s="34" t="s">
        <v>604</v>
      </c>
      <c r="K147" s="56">
        <v>31594.795</v>
      </c>
      <c r="L147" s="283"/>
      <c r="M147" s="230" t="s">
        <v>601</v>
      </c>
      <c r="N147" s="231"/>
      <c r="O147" s="237">
        <f t="shared" si="6"/>
        <v>31594.795</v>
      </c>
      <c r="P147" s="229"/>
    </row>
    <row r="148" spans="2:16" ht="15.75" customHeight="1" thickBot="1">
      <c r="B148" s="75" t="s">
        <v>514</v>
      </c>
      <c r="F148" s="43"/>
      <c r="G148" s="16" t="s">
        <v>602</v>
      </c>
      <c r="H148" s="46" t="s">
        <v>603</v>
      </c>
      <c r="I148" s="3"/>
      <c r="J148" s="34" t="s">
        <v>604</v>
      </c>
      <c r="K148" s="235">
        <f>SUM(K146:K147)</f>
        <v>1443249.603</v>
      </c>
      <c r="L148" s="236"/>
      <c r="M148" s="238" t="s">
        <v>601</v>
      </c>
      <c r="N148" s="239"/>
      <c r="O148" s="235">
        <f t="shared" si="6"/>
        <v>1443249.603</v>
      </c>
      <c r="P148" s="236"/>
    </row>
    <row r="149" spans="6:16" ht="15.75" customHeight="1" thickTop="1">
      <c r="F149" s="43"/>
      <c r="G149" s="99"/>
      <c r="H149" s="197"/>
      <c r="I149" s="3"/>
      <c r="J149" s="133"/>
      <c r="K149" s="110"/>
      <c r="L149" s="110"/>
      <c r="M149" s="111"/>
      <c r="N149" s="111"/>
      <c r="O149" s="110"/>
      <c r="P149" s="110"/>
    </row>
    <row r="170" spans="1:16" ht="15.75" customHeight="1" thickBot="1">
      <c r="A170" s="102"/>
      <c r="B170" s="102"/>
      <c r="C170" s="175"/>
      <c r="D170" s="176"/>
      <c r="E170" s="176"/>
      <c r="F170" s="177"/>
      <c r="G170" s="138"/>
      <c r="H170" s="139"/>
      <c r="I170" s="132"/>
      <c r="J170" s="103"/>
      <c r="K170" s="105"/>
      <c r="L170" s="105"/>
      <c r="M170" s="106"/>
      <c r="N170" s="106"/>
      <c r="O170" s="105"/>
      <c r="P170" s="105"/>
    </row>
    <row r="171" spans="1:16" ht="16.5" thickTop="1">
      <c r="A171" s="7">
        <v>4</v>
      </c>
      <c r="B171" s="2" t="str">
        <f>B85</f>
        <v>TABLE III - DETAIL OF TREASURY SECURITIES OUTSTANDING, MARCH 31, 2002 -- Continued</v>
      </c>
      <c r="C171" s="2"/>
      <c r="D171" s="3"/>
      <c r="E171" s="3"/>
      <c r="F171" s="3"/>
      <c r="G171" s="3"/>
      <c r="H171" s="3"/>
      <c r="I171" s="29"/>
      <c r="J171" s="3"/>
      <c r="K171" s="3"/>
      <c r="L171" s="3"/>
      <c r="M171" s="3"/>
      <c r="N171" s="3"/>
      <c r="O171" s="3"/>
      <c r="P171" s="97"/>
    </row>
    <row r="172" spans="1:16" ht="11.25" customHeight="1" thickBot="1">
      <c r="A172" s="7"/>
      <c r="B172" s="2"/>
      <c r="C172" s="2"/>
      <c r="D172" s="3"/>
      <c r="E172" s="3"/>
      <c r="F172" s="3"/>
      <c r="G172" s="3"/>
      <c r="H172" s="3"/>
      <c r="I172" s="29"/>
      <c r="J172" s="3"/>
      <c r="K172" s="3"/>
      <c r="L172" s="3"/>
      <c r="M172" s="3"/>
      <c r="N172" s="3"/>
      <c r="O172" s="3"/>
      <c r="P172" s="2"/>
    </row>
    <row r="173" spans="1:16" ht="16.5" customHeight="1" thickTop="1">
      <c r="A173" s="32"/>
      <c r="B173" s="32"/>
      <c r="C173" s="32"/>
      <c r="D173" s="32"/>
      <c r="E173" s="32"/>
      <c r="F173" s="32"/>
      <c r="G173" s="26"/>
      <c r="H173" s="26"/>
      <c r="I173" s="33"/>
      <c r="J173" s="67"/>
      <c r="K173" s="26"/>
      <c r="L173" s="32"/>
      <c r="M173" s="32"/>
      <c r="N173" s="32"/>
      <c r="O173" s="32"/>
      <c r="P173" s="32"/>
    </row>
    <row r="174" spans="7:16" ht="15.75" customHeight="1">
      <c r="G174" s="16" t="s">
        <v>587</v>
      </c>
      <c r="H174" s="16" t="s">
        <v>588</v>
      </c>
      <c r="I174" s="29"/>
      <c r="J174" s="34" t="s">
        <v>589</v>
      </c>
      <c r="K174" s="16" t="s">
        <v>590</v>
      </c>
      <c r="L174" s="3"/>
      <c r="M174" s="3"/>
      <c r="N174" s="3"/>
      <c r="O174" s="3"/>
      <c r="P174" s="3"/>
    </row>
    <row r="175" spans="1:11" ht="15.75" customHeight="1">
      <c r="A175" s="3" t="s">
        <v>591</v>
      </c>
      <c r="B175" s="3"/>
      <c r="C175" s="3"/>
      <c r="D175" s="3"/>
      <c r="E175" s="3"/>
      <c r="F175" s="3"/>
      <c r="G175" s="16" t="s">
        <v>592</v>
      </c>
      <c r="H175" s="16" t="s">
        <v>593</v>
      </c>
      <c r="I175" s="29"/>
      <c r="J175" s="34" t="s">
        <v>594</v>
      </c>
      <c r="K175" s="14"/>
    </row>
    <row r="176" spans="1:16" ht="15.75" customHeight="1">
      <c r="A176" s="15"/>
      <c r="B176" s="15"/>
      <c r="C176" s="15"/>
      <c r="D176" s="15"/>
      <c r="E176" s="15"/>
      <c r="F176" s="15"/>
      <c r="G176" s="169"/>
      <c r="H176" s="35"/>
      <c r="I176" s="36"/>
      <c r="J176" s="169"/>
      <c r="K176" s="37" t="s">
        <v>595</v>
      </c>
      <c r="L176" s="38"/>
      <c r="M176" s="37" t="s">
        <v>596</v>
      </c>
      <c r="N176" s="38"/>
      <c r="O176" s="37" t="s">
        <v>563</v>
      </c>
      <c r="P176" s="38"/>
    </row>
    <row r="177" spans="7:15" ht="0.75" customHeight="1" hidden="1">
      <c r="G177" s="14"/>
      <c r="H177" s="14"/>
      <c r="I177" s="31"/>
      <c r="J177" s="34"/>
      <c r="K177" s="14"/>
      <c r="M177" s="14"/>
      <c r="O177" s="14"/>
    </row>
    <row r="178" spans="7:16" ht="15.75" customHeight="1">
      <c r="G178" s="18"/>
      <c r="H178" s="18"/>
      <c r="I178" s="39"/>
      <c r="J178" s="68"/>
      <c r="K178" s="14"/>
      <c r="M178" s="14"/>
      <c r="O178" s="40"/>
      <c r="P178" s="21"/>
    </row>
    <row r="179" spans="1:16" ht="18" customHeight="1">
      <c r="A179" s="60" t="s">
        <v>575</v>
      </c>
      <c r="B179" s="60"/>
      <c r="G179" s="18"/>
      <c r="H179" s="18"/>
      <c r="I179" s="39"/>
      <c r="J179" s="68"/>
      <c r="K179" s="14"/>
      <c r="M179" s="14"/>
      <c r="O179" s="40"/>
      <c r="P179" s="21"/>
    </row>
    <row r="180" spans="2:15" ht="21" customHeight="1">
      <c r="B180" s="9" t="s">
        <v>339</v>
      </c>
      <c r="C180" s="43"/>
      <c r="D180" s="160" t="s">
        <v>797</v>
      </c>
      <c r="F180" s="19"/>
      <c r="G180" s="45"/>
      <c r="H180" s="45"/>
      <c r="J180" s="34"/>
      <c r="K180" s="14"/>
      <c r="M180" s="14"/>
      <c r="O180" s="40" t="s">
        <v>560</v>
      </c>
    </row>
    <row r="181" spans="2:16" ht="17.25" customHeight="1">
      <c r="B181" s="9" t="s">
        <v>599</v>
      </c>
      <c r="D181" s="3"/>
      <c r="E181" s="3" t="s">
        <v>607</v>
      </c>
      <c r="F181" s="3"/>
      <c r="G181" s="70"/>
      <c r="I181" s="42"/>
      <c r="J181" s="68"/>
      <c r="K181" s="14"/>
      <c r="M181" s="14"/>
      <c r="O181" s="40"/>
      <c r="P181" s="21"/>
    </row>
    <row r="182" spans="3:16" ht="15.75" customHeight="1">
      <c r="C182" s="43" t="s">
        <v>513</v>
      </c>
      <c r="E182" s="48" t="s">
        <v>658</v>
      </c>
      <c r="F182" s="159">
        <v>8</v>
      </c>
      <c r="G182" s="46">
        <v>28444</v>
      </c>
      <c r="H182" s="127">
        <v>39401</v>
      </c>
      <c r="I182" s="165"/>
      <c r="J182" s="34" t="s">
        <v>637</v>
      </c>
      <c r="K182" s="40">
        <v>1494.696</v>
      </c>
      <c r="L182" s="21"/>
      <c r="M182" s="47" t="s">
        <v>601</v>
      </c>
      <c r="N182" s="27"/>
      <c r="O182" s="40">
        <f>K182+M182</f>
        <v>1494.696</v>
      </c>
      <c r="P182" s="21"/>
    </row>
    <row r="183" spans="7:16" ht="15.75" customHeight="1">
      <c r="G183" s="45"/>
      <c r="H183" s="109">
        <v>37575</v>
      </c>
      <c r="I183" s="164">
        <v>9</v>
      </c>
      <c r="J183" s="34"/>
      <c r="K183" s="40"/>
      <c r="L183" s="21"/>
      <c r="M183" s="40"/>
      <c r="N183" s="21"/>
      <c r="O183" s="40" t="s">
        <v>560</v>
      </c>
      <c r="P183" s="21"/>
    </row>
    <row r="184" spans="3:16" ht="15.75" customHeight="1">
      <c r="C184" s="43" t="s">
        <v>183</v>
      </c>
      <c r="E184" s="48" t="s">
        <v>672</v>
      </c>
      <c r="F184" s="159">
        <v>8</v>
      </c>
      <c r="G184" s="46">
        <v>30223</v>
      </c>
      <c r="H184" s="127">
        <v>37575</v>
      </c>
      <c r="I184" s="165"/>
      <c r="J184" s="34" t="s">
        <v>637</v>
      </c>
      <c r="K184" s="40">
        <v>2753.002</v>
      </c>
      <c r="L184" s="21"/>
      <c r="M184" s="47" t="s">
        <v>601</v>
      </c>
      <c r="N184" s="27"/>
      <c r="O184" s="40">
        <f>K184+M184</f>
        <v>2753.002</v>
      </c>
      <c r="P184" s="21"/>
    </row>
    <row r="185" spans="3:16" ht="15.75" customHeight="1">
      <c r="C185" s="43" t="s">
        <v>184</v>
      </c>
      <c r="E185" s="48" t="s">
        <v>673</v>
      </c>
      <c r="F185" s="159">
        <v>8</v>
      </c>
      <c r="G185" s="46">
        <v>30320</v>
      </c>
      <c r="H185" s="127">
        <v>37667</v>
      </c>
      <c r="I185" s="165"/>
      <c r="J185" s="34" t="s">
        <v>619</v>
      </c>
      <c r="K185" s="40">
        <v>3006.667</v>
      </c>
      <c r="L185" s="21"/>
      <c r="M185" s="47" t="s">
        <v>601</v>
      </c>
      <c r="N185" s="27"/>
      <c r="O185" s="40">
        <f>K185+M185</f>
        <v>3006.667</v>
      </c>
      <c r="P185" s="21"/>
    </row>
    <row r="186" spans="3:16" ht="15.75" customHeight="1">
      <c r="C186" s="43" t="s">
        <v>185</v>
      </c>
      <c r="E186" s="48" t="s">
        <v>673</v>
      </c>
      <c r="F186" s="159">
        <v>8</v>
      </c>
      <c r="G186" s="46">
        <v>30410</v>
      </c>
      <c r="H186" s="127">
        <v>37756</v>
      </c>
      <c r="I186" s="166"/>
      <c r="J186" s="34" t="s">
        <v>637</v>
      </c>
      <c r="K186" s="40">
        <v>3249.132</v>
      </c>
      <c r="L186" s="21"/>
      <c r="M186" s="47" t="s">
        <v>601</v>
      </c>
      <c r="N186" s="27"/>
      <c r="O186" s="40">
        <f>K186+M186</f>
        <v>3249.132</v>
      </c>
      <c r="P186" s="21"/>
    </row>
    <row r="187" spans="3:16" ht="15.75" customHeight="1">
      <c r="C187" s="43" t="s">
        <v>186</v>
      </c>
      <c r="E187" s="48" t="s">
        <v>674</v>
      </c>
      <c r="F187" s="159">
        <v>8</v>
      </c>
      <c r="G187" s="46">
        <v>28717</v>
      </c>
      <c r="H187" s="127">
        <v>39675</v>
      </c>
      <c r="I187" s="166"/>
      <c r="J187" s="34" t="s">
        <v>619</v>
      </c>
      <c r="K187" s="40">
        <v>2102.549</v>
      </c>
      <c r="L187" s="21"/>
      <c r="M187" s="47" t="s">
        <v>601</v>
      </c>
      <c r="N187" s="27"/>
      <c r="O187" s="40">
        <f>K187+M187</f>
        <v>2102.549</v>
      </c>
      <c r="P187" s="21"/>
    </row>
    <row r="188" spans="7:16" ht="15.75" customHeight="1">
      <c r="G188" s="45"/>
      <c r="H188" s="109">
        <v>37848</v>
      </c>
      <c r="I188" s="164">
        <v>9</v>
      </c>
      <c r="J188" s="34"/>
      <c r="K188" s="40"/>
      <c r="L188" s="21"/>
      <c r="M188" s="40"/>
      <c r="N188" s="21"/>
      <c r="O188" s="40" t="s">
        <v>560</v>
      </c>
      <c r="P188" s="21"/>
    </row>
    <row r="189" spans="3:16" ht="15.75" customHeight="1">
      <c r="C189" s="43" t="s">
        <v>187</v>
      </c>
      <c r="E189" s="48" t="s">
        <v>675</v>
      </c>
      <c r="F189" s="159">
        <v>8</v>
      </c>
      <c r="G189" s="46">
        <v>30502</v>
      </c>
      <c r="H189" s="127">
        <v>37848</v>
      </c>
      <c r="I189" s="166"/>
      <c r="J189" s="34" t="s">
        <v>619</v>
      </c>
      <c r="K189" s="40">
        <v>3501.388</v>
      </c>
      <c r="L189" s="21"/>
      <c r="M189" s="47" t="s">
        <v>601</v>
      </c>
      <c r="N189" s="27"/>
      <c r="O189" s="40">
        <f>K189+M189</f>
        <v>3501.388</v>
      </c>
      <c r="P189" s="21"/>
    </row>
    <row r="190" spans="3:16" ht="15.75" customHeight="1">
      <c r="C190" s="43" t="s">
        <v>188</v>
      </c>
      <c r="E190" s="48" t="s">
        <v>664</v>
      </c>
      <c r="F190" s="159">
        <v>8</v>
      </c>
      <c r="G190" s="46">
        <v>28809</v>
      </c>
      <c r="H190" s="127">
        <v>39767</v>
      </c>
      <c r="I190" s="166"/>
      <c r="J190" s="34" t="s">
        <v>637</v>
      </c>
      <c r="K190" s="40">
        <v>5230.339</v>
      </c>
      <c r="L190" s="21"/>
      <c r="M190" s="47" t="s">
        <v>601</v>
      </c>
      <c r="N190" s="27"/>
      <c r="O190" s="40">
        <f>K190+M190</f>
        <v>5230.339</v>
      </c>
      <c r="P190" s="21"/>
    </row>
    <row r="191" spans="7:16" ht="15.75" customHeight="1">
      <c r="G191" s="45"/>
      <c r="H191" s="109">
        <v>37940</v>
      </c>
      <c r="I191" s="164">
        <v>9</v>
      </c>
      <c r="J191" s="34"/>
      <c r="K191" s="40"/>
      <c r="L191" s="21"/>
      <c r="M191" s="40"/>
      <c r="N191" s="21"/>
      <c r="O191" s="40" t="s">
        <v>560</v>
      </c>
      <c r="P191" s="21"/>
    </row>
    <row r="192" spans="3:16" ht="15.75" customHeight="1">
      <c r="C192" s="43" t="s">
        <v>189</v>
      </c>
      <c r="E192" s="48" t="s">
        <v>676</v>
      </c>
      <c r="F192" s="159">
        <v>8</v>
      </c>
      <c r="G192" s="46">
        <v>30594</v>
      </c>
      <c r="H192" s="127">
        <v>37940</v>
      </c>
      <c r="I192" s="166"/>
      <c r="J192" s="34" t="s">
        <v>637</v>
      </c>
      <c r="K192" s="40">
        <v>7259.553</v>
      </c>
      <c r="L192" s="21"/>
      <c r="M192" s="47" t="s">
        <v>601</v>
      </c>
      <c r="N192" s="27"/>
      <c r="O192" s="40">
        <f>K192+M192</f>
        <v>7259.553</v>
      </c>
      <c r="P192" s="21"/>
    </row>
    <row r="193" spans="3:16" ht="15.75" customHeight="1">
      <c r="C193" s="43" t="s">
        <v>190</v>
      </c>
      <c r="E193" s="48" t="s">
        <v>636</v>
      </c>
      <c r="F193" s="159">
        <v>8</v>
      </c>
      <c r="G193" s="46">
        <v>28990</v>
      </c>
      <c r="H193" s="109">
        <v>39948</v>
      </c>
      <c r="I193" s="165"/>
      <c r="J193" s="34" t="s">
        <v>637</v>
      </c>
      <c r="K193" s="40">
        <v>4605.676</v>
      </c>
      <c r="L193" s="21"/>
      <c r="M193" s="47" t="s">
        <v>601</v>
      </c>
      <c r="N193" s="27"/>
      <c r="O193" s="40">
        <f>K193+M193</f>
        <v>4605.676</v>
      </c>
      <c r="P193" s="21"/>
    </row>
    <row r="194" spans="7:16" ht="15.75" customHeight="1">
      <c r="G194" s="45"/>
      <c r="H194" s="109">
        <v>38122</v>
      </c>
      <c r="I194" s="164">
        <v>9</v>
      </c>
      <c r="J194" s="34"/>
      <c r="K194" s="40"/>
      <c r="L194" s="21"/>
      <c r="M194" s="40"/>
      <c r="N194" s="21"/>
      <c r="O194" s="40" t="s">
        <v>560</v>
      </c>
      <c r="P194" s="21"/>
    </row>
    <row r="195" spans="3:16" ht="15.75" customHeight="1">
      <c r="C195" s="43" t="s">
        <v>191</v>
      </c>
      <c r="E195" s="48" t="s">
        <v>677</v>
      </c>
      <c r="F195" s="159">
        <v>8</v>
      </c>
      <c r="G195" s="46">
        <v>30777</v>
      </c>
      <c r="H195" s="127">
        <v>38122</v>
      </c>
      <c r="I195" s="165"/>
      <c r="J195" s="34" t="s">
        <v>637</v>
      </c>
      <c r="K195" s="40">
        <v>3754.928</v>
      </c>
      <c r="L195" s="21"/>
      <c r="M195" s="47" t="s">
        <v>601</v>
      </c>
      <c r="N195" s="27"/>
      <c r="O195" s="40">
        <f>K195+M195</f>
        <v>3754.928</v>
      </c>
      <c r="P195" s="21"/>
    </row>
    <row r="196" spans="3:16" ht="15.75" customHeight="1">
      <c r="C196" s="43" t="s">
        <v>192</v>
      </c>
      <c r="E196" s="48" t="s">
        <v>678</v>
      </c>
      <c r="F196" s="159">
        <v>8</v>
      </c>
      <c r="G196" s="46">
        <v>30873</v>
      </c>
      <c r="H196" s="127">
        <v>38214</v>
      </c>
      <c r="I196" s="165"/>
      <c r="J196" s="34" t="s">
        <v>619</v>
      </c>
      <c r="K196" s="40">
        <v>4000.363</v>
      </c>
      <c r="L196" s="21"/>
      <c r="M196" s="47" t="s">
        <v>601</v>
      </c>
      <c r="N196" s="27"/>
      <c r="O196" s="40">
        <f>K196+M196</f>
        <v>4000.363</v>
      </c>
      <c r="P196" s="21"/>
    </row>
    <row r="197" spans="3:16" ht="15.75" customHeight="1">
      <c r="C197" s="43" t="s">
        <v>193</v>
      </c>
      <c r="E197" s="48" t="s">
        <v>679</v>
      </c>
      <c r="F197" s="159">
        <v>8</v>
      </c>
      <c r="G197" s="46">
        <v>29174</v>
      </c>
      <c r="H197" s="127">
        <v>40132</v>
      </c>
      <c r="I197" s="165"/>
      <c r="J197" s="34" t="s">
        <v>637</v>
      </c>
      <c r="K197" s="40">
        <v>4201.062</v>
      </c>
      <c r="L197" s="21"/>
      <c r="M197" s="47" t="s">
        <v>601</v>
      </c>
      <c r="N197" s="27"/>
      <c r="O197" s="40">
        <f>K197+M197</f>
        <v>4201.062</v>
      </c>
      <c r="P197" s="21"/>
    </row>
    <row r="198" spans="6:16" ht="15.75" customHeight="1">
      <c r="F198" s="159"/>
      <c r="G198" s="45"/>
      <c r="H198" s="109">
        <v>38306</v>
      </c>
      <c r="I198" s="164">
        <v>9</v>
      </c>
      <c r="J198" s="34"/>
      <c r="K198" s="40"/>
      <c r="L198" s="21"/>
      <c r="M198" s="40"/>
      <c r="N198" s="21"/>
      <c r="O198" s="40" t="s">
        <v>560</v>
      </c>
      <c r="P198" s="21"/>
    </row>
    <row r="199" spans="3:16" ht="15.75" customHeight="1">
      <c r="C199" s="43" t="s">
        <v>194</v>
      </c>
      <c r="E199" s="48" t="s">
        <v>672</v>
      </c>
      <c r="G199" s="46">
        <v>30985</v>
      </c>
      <c r="H199" s="127">
        <v>38306</v>
      </c>
      <c r="I199" s="165"/>
      <c r="J199" s="34" t="s">
        <v>637</v>
      </c>
      <c r="K199" s="40">
        <v>8301.806</v>
      </c>
      <c r="L199" s="21"/>
      <c r="M199" s="47" t="s">
        <v>601</v>
      </c>
      <c r="N199" s="27"/>
      <c r="O199" s="40">
        <f>K199+M199</f>
        <v>8301.806</v>
      </c>
      <c r="P199" s="21"/>
    </row>
    <row r="200" spans="3:16" ht="15.75" customHeight="1">
      <c r="C200" s="43" t="s">
        <v>195</v>
      </c>
      <c r="E200" s="48" t="s">
        <v>670</v>
      </c>
      <c r="F200" s="159">
        <v>8</v>
      </c>
      <c r="G200" s="46">
        <v>29266</v>
      </c>
      <c r="H200" s="127">
        <v>40224</v>
      </c>
      <c r="I200" s="165"/>
      <c r="J200" s="34" t="s">
        <v>619</v>
      </c>
      <c r="K200" s="40">
        <v>2647.309</v>
      </c>
      <c r="L200" s="21"/>
      <c r="M200" s="51">
        <v>-332.1</v>
      </c>
      <c r="N200" s="21"/>
      <c r="O200" s="40">
        <f>K200+M200</f>
        <v>2315.2090000000003</v>
      </c>
      <c r="P200" s="21"/>
    </row>
    <row r="201" spans="6:16" ht="15.75" customHeight="1">
      <c r="F201" s="163"/>
      <c r="G201" s="45"/>
      <c r="H201" s="109">
        <v>38398</v>
      </c>
      <c r="I201" s="164">
        <v>9</v>
      </c>
      <c r="J201" s="34"/>
      <c r="K201" s="40"/>
      <c r="L201" s="21"/>
      <c r="M201" s="40"/>
      <c r="N201" s="21"/>
      <c r="O201" s="40" t="s">
        <v>560</v>
      </c>
      <c r="P201" s="21"/>
    </row>
    <row r="202" spans="3:16" ht="15.75" customHeight="1">
      <c r="C202" s="43" t="s">
        <v>196</v>
      </c>
      <c r="E202" s="48" t="s">
        <v>680</v>
      </c>
      <c r="F202" s="159">
        <v>8</v>
      </c>
      <c r="G202" s="46">
        <v>29356</v>
      </c>
      <c r="H202" s="127">
        <v>40313</v>
      </c>
      <c r="I202" s="165"/>
      <c r="J202" s="34" t="s">
        <v>637</v>
      </c>
      <c r="K202" s="40">
        <v>2987.44</v>
      </c>
      <c r="L202" s="21"/>
      <c r="M202" s="47" t="s">
        <v>601</v>
      </c>
      <c r="N202" s="27"/>
      <c r="O202" s="40">
        <f>K202+M202</f>
        <v>2987.44</v>
      </c>
      <c r="P202" s="21"/>
    </row>
    <row r="203" spans="6:16" ht="15.75" customHeight="1">
      <c r="F203" s="163"/>
      <c r="G203" s="45"/>
      <c r="H203" s="109">
        <v>38487</v>
      </c>
      <c r="I203" s="164">
        <v>9</v>
      </c>
      <c r="J203" s="34"/>
      <c r="K203" s="40"/>
      <c r="L203" s="21"/>
      <c r="M203" s="40"/>
      <c r="N203" s="21"/>
      <c r="O203" s="40" t="s">
        <v>560</v>
      </c>
      <c r="P203" s="21"/>
    </row>
    <row r="204" spans="3:16" ht="15.75" customHeight="1">
      <c r="C204" s="43" t="s">
        <v>197</v>
      </c>
      <c r="E204" s="48" t="s">
        <v>681</v>
      </c>
      <c r="F204" s="159"/>
      <c r="G204" s="46">
        <v>31139</v>
      </c>
      <c r="H204" s="127">
        <v>38487</v>
      </c>
      <c r="I204" s="165"/>
      <c r="J204" s="34" t="s">
        <v>637</v>
      </c>
      <c r="K204" s="40">
        <v>4260.758</v>
      </c>
      <c r="L204" s="21"/>
      <c r="M204" s="47" t="s">
        <v>601</v>
      </c>
      <c r="N204" s="27"/>
      <c r="O204" s="40">
        <f>K204+M204</f>
        <v>4260.758</v>
      </c>
      <c r="P204" s="21"/>
    </row>
    <row r="205" spans="3:16" ht="15.75" customHeight="1">
      <c r="C205" s="43" t="s">
        <v>198</v>
      </c>
      <c r="E205" s="90" t="s">
        <v>673</v>
      </c>
      <c r="G205" s="52">
        <v>31230</v>
      </c>
      <c r="H205" s="127">
        <v>38579</v>
      </c>
      <c r="I205" s="165"/>
      <c r="J205" s="34" t="s">
        <v>619</v>
      </c>
      <c r="K205" s="40">
        <v>9269.713</v>
      </c>
      <c r="L205" s="21"/>
      <c r="M205" s="47" t="s">
        <v>601</v>
      </c>
      <c r="N205" s="27"/>
      <c r="O205" s="40">
        <f aca="true" t="shared" si="7" ref="O205:O219">K205+M205</f>
        <v>9269.713</v>
      </c>
      <c r="P205" s="21"/>
    </row>
    <row r="206" spans="3:16" ht="15.75" customHeight="1">
      <c r="C206" s="43" t="s">
        <v>199</v>
      </c>
      <c r="E206" s="48" t="s">
        <v>682</v>
      </c>
      <c r="F206" s="159">
        <v>8</v>
      </c>
      <c r="G206" s="46">
        <v>29542</v>
      </c>
      <c r="H206" s="127">
        <v>40497</v>
      </c>
      <c r="I206" s="165"/>
      <c r="J206" s="34" t="s">
        <v>637</v>
      </c>
      <c r="K206" s="40">
        <v>4736.37</v>
      </c>
      <c r="L206" s="21"/>
      <c r="M206" s="51">
        <v>-655</v>
      </c>
      <c r="N206" s="27"/>
      <c r="O206" s="40">
        <f t="shared" si="7"/>
        <v>4081.37</v>
      </c>
      <c r="P206" s="21"/>
    </row>
    <row r="207" spans="2:16" ht="15.75" customHeight="1">
      <c r="B207" s="9"/>
      <c r="E207" s="3"/>
      <c r="F207" s="166"/>
      <c r="G207" s="46"/>
      <c r="H207" s="109">
        <v>38671</v>
      </c>
      <c r="I207" s="164">
        <v>9</v>
      </c>
      <c r="J207" s="68"/>
      <c r="K207" s="14"/>
      <c r="M207" s="14"/>
      <c r="O207" s="40" t="s">
        <v>560</v>
      </c>
      <c r="P207" s="21"/>
    </row>
    <row r="208" spans="2:16" ht="15.75" customHeight="1">
      <c r="B208" s="9"/>
      <c r="C208" s="43" t="s">
        <v>200</v>
      </c>
      <c r="E208" s="48" t="s">
        <v>683</v>
      </c>
      <c r="G208" s="46">
        <v>31427</v>
      </c>
      <c r="H208" s="127">
        <v>38763</v>
      </c>
      <c r="I208" s="166"/>
      <c r="J208" s="34" t="s">
        <v>619</v>
      </c>
      <c r="K208" s="40">
        <v>4755.916</v>
      </c>
      <c r="L208" s="21"/>
      <c r="M208" s="47" t="s">
        <v>601</v>
      </c>
      <c r="N208" s="27"/>
      <c r="O208" s="40">
        <f t="shared" si="7"/>
        <v>4755.916</v>
      </c>
      <c r="P208" s="21"/>
    </row>
    <row r="209" spans="2:16" ht="15.75" customHeight="1">
      <c r="B209" s="9"/>
      <c r="C209" s="43" t="s">
        <v>201</v>
      </c>
      <c r="E209" s="48" t="s">
        <v>684</v>
      </c>
      <c r="F209" s="159">
        <v>8</v>
      </c>
      <c r="G209" s="46">
        <v>29721</v>
      </c>
      <c r="H209" s="127">
        <v>40678</v>
      </c>
      <c r="I209" s="166"/>
      <c r="J209" s="34" t="s">
        <v>637</v>
      </c>
      <c r="K209" s="40">
        <v>4608.503</v>
      </c>
      <c r="L209" s="21"/>
      <c r="M209" s="51">
        <v>-1064</v>
      </c>
      <c r="N209" s="27"/>
      <c r="O209" s="40">
        <f t="shared" si="7"/>
        <v>3544.5029999999997</v>
      </c>
      <c r="P209" s="21"/>
    </row>
    <row r="210" spans="3:16" ht="15.75" customHeight="1">
      <c r="C210" s="43" t="s">
        <v>560</v>
      </c>
      <c r="F210" s="158"/>
      <c r="G210" s="45"/>
      <c r="H210" s="109">
        <v>38852</v>
      </c>
      <c r="I210" s="164">
        <v>9</v>
      </c>
      <c r="J210" s="34"/>
      <c r="K210" s="40"/>
      <c r="L210" s="21"/>
      <c r="M210" s="40"/>
      <c r="N210" s="21"/>
      <c r="O210" s="40" t="s">
        <v>560</v>
      </c>
      <c r="P210" s="21"/>
    </row>
    <row r="211" spans="3:16" ht="15.75" customHeight="1">
      <c r="C211" s="43" t="s">
        <v>202</v>
      </c>
      <c r="E211" s="48" t="s">
        <v>685</v>
      </c>
      <c r="F211" s="159">
        <v>8</v>
      </c>
      <c r="G211" s="46">
        <v>29906</v>
      </c>
      <c r="H211" s="127">
        <v>40862</v>
      </c>
      <c r="I211" s="165"/>
      <c r="J211" s="34" t="s">
        <v>637</v>
      </c>
      <c r="K211" s="40">
        <v>4900.545</v>
      </c>
      <c r="L211" s="21"/>
      <c r="M211" s="51">
        <v>-852.1</v>
      </c>
      <c r="N211" s="27"/>
      <c r="O211" s="40">
        <f t="shared" si="7"/>
        <v>4048.445</v>
      </c>
      <c r="P211" s="21"/>
    </row>
    <row r="212" spans="6:16" ht="15.75" customHeight="1">
      <c r="F212" s="158"/>
      <c r="G212" s="45"/>
      <c r="H212" s="109">
        <v>39036</v>
      </c>
      <c r="I212" s="164">
        <v>9</v>
      </c>
      <c r="J212" s="34"/>
      <c r="K212" s="40"/>
      <c r="L212" s="21"/>
      <c r="M212" s="40"/>
      <c r="N212" s="21"/>
      <c r="O212" s="40" t="s">
        <v>560</v>
      </c>
      <c r="P212" s="21"/>
    </row>
    <row r="213" spans="3:16" ht="15.75" customHeight="1">
      <c r="C213" s="43" t="s">
        <v>203</v>
      </c>
      <c r="E213" s="48" t="s">
        <v>679</v>
      </c>
      <c r="F213" s="159">
        <v>8</v>
      </c>
      <c r="G213" s="46">
        <v>30270</v>
      </c>
      <c r="H213" s="127">
        <v>41228</v>
      </c>
      <c r="I213" s="165"/>
      <c r="J213" s="34" t="s">
        <v>637</v>
      </c>
      <c r="K213" s="40">
        <v>11031.518</v>
      </c>
      <c r="L213" s="21"/>
      <c r="M213" s="51">
        <v>-905.5</v>
      </c>
      <c r="N213" s="21"/>
      <c r="O213" s="40">
        <f t="shared" si="7"/>
        <v>10126.018</v>
      </c>
      <c r="P213" s="21"/>
    </row>
    <row r="214" spans="3:16" ht="15.75" customHeight="1">
      <c r="C214" s="43"/>
      <c r="E214" s="48"/>
      <c r="F214" s="158"/>
      <c r="G214" s="46"/>
      <c r="H214" s="109">
        <v>39401</v>
      </c>
      <c r="I214" s="164">
        <v>9</v>
      </c>
      <c r="J214" s="34"/>
      <c r="K214" s="40"/>
      <c r="L214" s="21"/>
      <c r="M214" s="47"/>
      <c r="N214" s="27"/>
      <c r="O214" s="40" t="s">
        <v>560</v>
      </c>
      <c r="P214" s="21"/>
    </row>
    <row r="215" spans="3:16" ht="15.75" customHeight="1">
      <c r="C215" s="43" t="s">
        <v>204</v>
      </c>
      <c r="E215" s="48" t="s">
        <v>681</v>
      </c>
      <c r="F215" s="159">
        <v>8</v>
      </c>
      <c r="G215" s="46">
        <v>30543</v>
      </c>
      <c r="H215" s="127">
        <v>41501</v>
      </c>
      <c r="I215" s="165"/>
      <c r="J215" s="34" t="s">
        <v>619</v>
      </c>
      <c r="K215" s="40">
        <v>14755.363</v>
      </c>
      <c r="L215" s="21"/>
      <c r="M215" s="51">
        <v>-2838.3</v>
      </c>
      <c r="N215" s="196"/>
      <c r="O215" s="40">
        <f t="shared" si="7"/>
        <v>11917.062999999998</v>
      </c>
      <c r="P215" s="21"/>
    </row>
    <row r="216" spans="6:16" ht="15.75" customHeight="1">
      <c r="F216" s="158"/>
      <c r="G216" s="45"/>
      <c r="H216" s="109">
        <v>39675</v>
      </c>
      <c r="I216" s="164">
        <v>9</v>
      </c>
      <c r="J216" s="34"/>
      <c r="K216" s="40"/>
      <c r="L216" s="21"/>
      <c r="M216" s="40"/>
      <c r="N216" s="21"/>
      <c r="O216" s="40" t="s">
        <v>560</v>
      </c>
      <c r="P216" s="21"/>
    </row>
    <row r="217" spans="3:16" ht="15.75" customHeight="1">
      <c r="C217" s="43" t="s">
        <v>205</v>
      </c>
      <c r="E217" s="48" t="s">
        <v>686</v>
      </c>
      <c r="F217" s="159">
        <v>8</v>
      </c>
      <c r="G217" s="46">
        <v>30817</v>
      </c>
      <c r="H217" s="127">
        <v>41774</v>
      </c>
      <c r="I217" s="165"/>
      <c r="J217" s="34" t="s">
        <v>637</v>
      </c>
      <c r="K217" s="40">
        <v>5007.367</v>
      </c>
      <c r="L217" s="21"/>
      <c r="M217" s="51">
        <v>-526.6</v>
      </c>
      <c r="N217" s="27"/>
      <c r="O217" s="40">
        <f t="shared" si="7"/>
        <v>4480.767</v>
      </c>
      <c r="P217" s="21"/>
    </row>
    <row r="218" spans="6:16" ht="15.75" customHeight="1">
      <c r="F218" s="158"/>
      <c r="G218" s="45"/>
      <c r="H218" s="109">
        <v>39948</v>
      </c>
      <c r="I218" s="164">
        <v>9</v>
      </c>
      <c r="J218" s="34"/>
      <c r="K218" s="40"/>
      <c r="L218" s="21"/>
      <c r="M218" s="40"/>
      <c r="N218" s="21"/>
      <c r="O218" s="40" t="s">
        <v>560</v>
      </c>
      <c r="P218" s="21"/>
    </row>
    <row r="219" spans="3:16" ht="15.75" customHeight="1">
      <c r="C219" s="43" t="s">
        <v>206</v>
      </c>
      <c r="E219" s="48" t="s">
        <v>687</v>
      </c>
      <c r="F219" s="159">
        <v>8</v>
      </c>
      <c r="G219" s="46">
        <v>30909</v>
      </c>
      <c r="H219" s="127">
        <v>41866</v>
      </c>
      <c r="I219" s="165"/>
      <c r="J219" s="34" t="s">
        <v>619</v>
      </c>
      <c r="K219" s="40">
        <v>5128.392</v>
      </c>
      <c r="L219" s="21"/>
      <c r="M219" s="51">
        <v>-740.4</v>
      </c>
      <c r="N219" s="27"/>
      <c r="O219" s="40">
        <f t="shared" si="7"/>
        <v>4387.992</v>
      </c>
      <c r="P219" s="21"/>
    </row>
    <row r="220" spans="6:16" ht="15.75" customHeight="1">
      <c r="F220" s="158"/>
      <c r="G220" s="45"/>
      <c r="H220" s="109">
        <v>40040</v>
      </c>
      <c r="I220" s="164">
        <v>9</v>
      </c>
      <c r="J220" s="34"/>
      <c r="K220" s="40"/>
      <c r="L220" s="21"/>
      <c r="M220" s="40"/>
      <c r="N220" s="21"/>
      <c r="O220" s="40" t="s">
        <v>560</v>
      </c>
      <c r="P220" s="21"/>
    </row>
    <row r="221" spans="3:16" ht="15.75" customHeight="1">
      <c r="C221" s="43" t="s">
        <v>207</v>
      </c>
      <c r="E221" s="48" t="s">
        <v>670</v>
      </c>
      <c r="F221" s="159"/>
      <c r="G221" s="46">
        <v>31001</v>
      </c>
      <c r="H221" s="127">
        <v>41958</v>
      </c>
      <c r="I221" s="165"/>
      <c r="J221" s="34" t="s">
        <v>637</v>
      </c>
      <c r="K221" s="40">
        <v>6005.584</v>
      </c>
      <c r="L221" s="21"/>
      <c r="M221" s="51">
        <v>-990.3</v>
      </c>
      <c r="N221" s="196"/>
      <c r="O221" s="40">
        <f>K221+M221</f>
        <v>5015.284</v>
      </c>
      <c r="P221" s="21"/>
    </row>
    <row r="222" spans="6:16" ht="15.75" customHeight="1">
      <c r="F222" s="163"/>
      <c r="G222" s="45"/>
      <c r="H222" s="109">
        <v>40132</v>
      </c>
      <c r="I222" s="164">
        <v>9</v>
      </c>
      <c r="J222" s="34"/>
      <c r="K222" s="40"/>
      <c r="L222" s="21"/>
      <c r="M222" s="40"/>
      <c r="N222" s="21"/>
      <c r="O222" s="40" t="s">
        <v>560</v>
      </c>
      <c r="P222" s="21"/>
    </row>
    <row r="223" spans="3:16" ht="15.75" customHeight="1">
      <c r="C223" s="43" t="s">
        <v>208</v>
      </c>
      <c r="E223" s="48" t="s">
        <v>688</v>
      </c>
      <c r="F223" s="159"/>
      <c r="G223" s="46">
        <v>31093</v>
      </c>
      <c r="H223" s="135">
        <v>42050</v>
      </c>
      <c r="I223" s="3"/>
      <c r="J223" s="34" t="s">
        <v>619</v>
      </c>
      <c r="K223" s="40">
        <v>12667.799</v>
      </c>
      <c r="L223" s="21"/>
      <c r="M223" s="51">
        <v>-1884.5</v>
      </c>
      <c r="N223" s="27"/>
      <c r="O223" s="40">
        <f>K223+M223</f>
        <v>10783.299</v>
      </c>
      <c r="P223" s="21"/>
    </row>
    <row r="224" spans="3:16" ht="15.75" customHeight="1">
      <c r="C224" s="43" t="s">
        <v>209</v>
      </c>
      <c r="E224" s="48" t="s">
        <v>689</v>
      </c>
      <c r="F224" s="159"/>
      <c r="G224" s="46">
        <v>31274</v>
      </c>
      <c r="H224" s="135">
        <v>42231</v>
      </c>
      <c r="I224" s="3"/>
      <c r="J224" s="34" t="s">
        <v>619</v>
      </c>
      <c r="K224" s="40">
        <v>7149.916</v>
      </c>
      <c r="L224" s="21"/>
      <c r="M224" s="51">
        <v>-3126</v>
      </c>
      <c r="N224" s="27"/>
      <c r="O224" s="40">
        <f>K224+M224</f>
        <v>4023.916</v>
      </c>
      <c r="P224" s="21"/>
    </row>
    <row r="225" spans="3:16" ht="15.75" customHeight="1">
      <c r="C225" s="43" t="s">
        <v>210</v>
      </c>
      <c r="E225" s="48" t="s">
        <v>690</v>
      </c>
      <c r="F225" s="159"/>
      <c r="G225" s="46">
        <v>31380</v>
      </c>
      <c r="H225" s="135">
        <v>42323</v>
      </c>
      <c r="I225" s="3"/>
      <c r="J225" s="34" t="s">
        <v>637</v>
      </c>
      <c r="K225" s="40">
        <v>6899.859</v>
      </c>
      <c r="L225" s="21"/>
      <c r="M225" s="51">
        <v>-1315</v>
      </c>
      <c r="N225" s="27"/>
      <c r="O225" s="40">
        <f>K225+M225</f>
        <v>5584.859</v>
      </c>
      <c r="P225" s="21"/>
    </row>
    <row r="226" spans="3:16" ht="15.75" customHeight="1">
      <c r="C226" s="43" t="s">
        <v>211</v>
      </c>
      <c r="E226" s="48" t="s">
        <v>691</v>
      </c>
      <c r="F226" s="159"/>
      <c r="G226" s="46">
        <v>31461</v>
      </c>
      <c r="H226" s="135">
        <v>42415</v>
      </c>
      <c r="I226" s="3"/>
      <c r="J226" s="34" t="s">
        <v>619</v>
      </c>
      <c r="K226" s="40">
        <v>7266.854</v>
      </c>
      <c r="L226" s="21"/>
      <c r="M226" s="51">
        <v>-1765.1</v>
      </c>
      <c r="N226" s="27"/>
      <c r="O226" s="40">
        <f aca="true" t="shared" si="8" ref="O226:O252">K226+M226</f>
        <v>5501.754000000001</v>
      </c>
      <c r="P226" s="21"/>
    </row>
    <row r="227" spans="3:16" ht="15.75" customHeight="1">
      <c r="C227" s="43" t="s">
        <v>212</v>
      </c>
      <c r="E227" s="48" t="s">
        <v>668</v>
      </c>
      <c r="F227" s="159"/>
      <c r="G227" s="46">
        <v>31547</v>
      </c>
      <c r="H227" s="135">
        <v>42505</v>
      </c>
      <c r="I227" s="3"/>
      <c r="J227" s="34" t="s">
        <v>637</v>
      </c>
      <c r="K227" s="40">
        <v>18823.551</v>
      </c>
      <c r="L227" s="21"/>
      <c r="M227" s="47" t="s">
        <v>601</v>
      </c>
      <c r="N227" s="27"/>
      <c r="O227" s="40">
        <f t="shared" si="8"/>
        <v>18823.551</v>
      </c>
      <c r="P227" s="21"/>
    </row>
    <row r="228" spans="3:16" ht="15.75" customHeight="1">
      <c r="C228" s="43" t="s">
        <v>213</v>
      </c>
      <c r="E228" s="48" t="s">
        <v>655</v>
      </c>
      <c r="F228" s="159"/>
      <c r="G228" s="46">
        <v>31733</v>
      </c>
      <c r="H228" s="135">
        <v>42689</v>
      </c>
      <c r="I228" s="3"/>
      <c r="J228" s="34" t="s">
        <v>637</v>
      </c>
      <c r="K228" s="40">
        <v>18864.448</v>
      </c>
      <c r="L228" s="21"/>
      <c r="M228" s="51">
        <v>-40</v>
      </c>
      <c r="N228" s="27"/>
      <c r="O228" s="40">
        <f t="shared" si="8"/>
        <v>18824.448</v>
      </c>
      <c r="P228" s="21"/>
    </row>
    <row r="229" spans="3:16" ht="15.75" customHeight="1">
      <c r="C229" s="43" t="s">
        <v>214</v>
      </c>
      <c r="E229" s="48" t="s">
        <v>664</v>
      </c>
      <c r="F229" s="159"/>
      <c r="G229" s="46">
        <v>31912</v>
      </c>
      <c r="H229" s="135">
        <v>42870</v>
      </c>
      <c r="I229" s="3"/>
      <c r="J229" s="34" t="s">
        <v>637</v>
      </c>
      <c r="K229" s="40">
        <v>18194.169</v>
      </c>
      <c r="L229" s="21"/>
      <c r="M229" s="51">
        <v>-2575</v>
      </c>
      <c r="N229" s="27"/>
      <c r="O229" s="40">
        <f t="shared" si="8"/>
        <v>15619.169000000002</v>
      </c>
      <c r="P229" s="21"/>
    </row>
    <row r="230" spans="3:16" ht="15.75" customHeight="1">
      <c r="C230" s="43" t="s">
        <v>215</v>
      </c>
      <c r="E230" s="48" t="s">
        <v>618</v>
      </c>
      <c r="F230" s="159"/>
      <c r="G230" s="46">
        <v>32006</v>
      </c>
      <c r="H230" s="135">
        <v>42962</v>
      </c>
      <c r="I230" s="3"/>
      <c r="J230" s="34" t="s">
        <v>619</v>
      </c>
      <c r="K230" s="40">
        <v>14016.858</v>
      </c>
      <c r="L230" s="21"/>
      <c r="M230" s="51">
        <v>-2808.5</v>
      </c>
      <c r="N230" s="27"/>
      <c r="O230" s="40">
        <f t="shared" si="8"/>
        <v>11208.358</v>
      </c>
      <c r="P230" s="21"/>
    </row>
    <row r="231" spans="3:16" ht="15.75" customHeight="1">
      <c r="C231" s="43" t="s">
        <v>216</v>
      </c>
      <c r="E231" s="48" t="s">
        <v>636</v>
      </c>
      <c r="F231" s="159"/>
      <c r="G231" s="46">
        <v>32279</v>
      </c>
      <c r="H231" s="135">
        <v>43235</v>
      </c>
      <c r="I231" s="3"/>
      <c r="J231" s="34" t="s">
        <v>637</v>
      </c>
      <c r="K231" s="40">
        <v>8708.639</v>
      </c>
      <c r="L231" s="21"/>
      <c r="M231" s="51">
        <v>-1911.2</v>
      </c>
      <c r="N231" s="27"/>
      <c r="O231" s="40">
        <f t="shared" si="8"/>
        <v>6797.438999999999</v>
      </c>
      <c r="P231" s="21"/>
    </row>
    <row r="232" spans="3:16" ht="15.75" customHeight="1">
      <c r="C232" s="43" t="s">
        <v>217</v>
      </c>
      <c r="E232" s="48" t="s">
        <v>692</v>
      </c>
      <c r="F232" s="159"/>
      <c r="G232" s="46">
        <v>32469</v>
      </c>
      <c r="H232" s="135">
        <v>43419</v>
      </c>
      <c r="I232" s="3"/>
      <c r="J232" s="34" t="s">
        <v>637</v>
      </c>
      <c r="K232" s="40">
        <v>9032.87</v>
      </c>
      <c r="L232" s="21"/>
      <c r="M232" s="51">
        <v>-1858.4</v>
      </c>
      <c r="N232" s="27"/>
      <c r="O232" s="40">
        <f t="shared" si="8"/>
        <v>7174.470000000001</v>
      </c>
      <c r="P232" s="21"/>
    </row>
    <row r="233" spans="3:16" ht="15.75" customHeight="1">
      <c r="C233" s="43" t="s">
        <v>218</v>
      </c>
      <c r="E233" s="48" t="s">
        <v>618</v>
      </c>
      <c r="F233" s="159"/>
      <c r="G233" s="46">
        <v>32554</v>
      </c>
      <c r="H233" s="135">
        <v>43511</v>
      </c>
      <c r="I233" s="3"/>
      <c r="J233" s="34" t="s">
        <v>619</v>
      </c>
      <c r="K233" s="40">
        <v>19250.798</v>
      </c>
      <c r="L233" s="21"/>
      <c r="M233" s="51">
        <v>-5930.3</v>
      </c>
      <c r="N233" s="27"/>
      <c r="O233" s="40">
        <f t="shared" si="8"/>
        <v>13320.498</v>
      </c>
      <c r="P233" s="21"/>
    </row>
    <row r="234" spans="3:16" ht="15.75" customHeight="1">
      <c r="C234" s="43" t="s">
        <v>219</v>
      </c>
      <c r="E234" s="48" t="s">
        <v>697</v>
      </c>
      <c r="F234" s="159"/>
      <c r="G234" s="46">
        <v>32735</v>
      </c>
      <c r="H234" s="135">
        <v>43692</v>
      </c>
      <c r="I234" s="3"/>
      <c r="J234" s="34" t="s">
        <v>619</v>
      </c>
      <c r="K234" s="40">
        <v>20213.832</v>
      </c>
      <c r="L234" s="21"/>
      <c r="M234" s="51">
        <v>-1272.9</v>
      </c>
      <c r="N234" s="27"/>
      <c r="O234" s="40">
        <f t="shared" si="8"/>
        <v>18940.931999999997</v>
      </c>
      <c r="P234" s="21"/>
    </row>
    <row r="235" spans="3:16" ht="15.75" customHeight="1">
      <c r="C235" s="43" t="s">
        <v>220</v>
      </c>
      <c r="E235" s="48" t="s">
        <v>662</v>
      </c>
      <c r="F235" s="159"/>
      <c r="G235" s="46">
        <v>32919</v>
      </c>
      <c r="H235" s="135">
        <v>43876</v>
      </c>
      <c r="I235" s="3"/>
      <c r="J235" s="34" t="s">
        <v>619</v>
      </c>
      <c r="K235" s="40">
        <v>10228.868</v>
      </c>
      <c r="L235" s="21"/>
      <c r="M235" s="51">
        <v>-572.6</v>
      </c>
      <c r="N235" s="27"/>
      <c r="O235" s="40">
        <f t="shared" si="8"/>
        <v>9656.268</v>
      </c>
      <c r="P235" s="21"/>
    </row>
    <row r="236" spans="3:16" ht="15.75" customHeight="1">
      <c r="C236" s="43" t="s">
        <v>221</v>
      </c>
      <c r="E236" s="48" t="s">
        <v>664</v>
      </c>
      <c r="F236" s="159"/>
      <c r="G236" s="46">
        <v>33008</v>
      </c>
      <c r="H236" s="135">
        <v>43966</v>
      </c>
      <c r="I236" s="3"/>
      <c r="J236" s="34" t="s">
        <v>637</v>
      </c>
      <c r="K236" s="40">
        <v>10158.883</v>
      </c>
      <c r="L236" s="21"/>
      <c r="M236" s="51">
        <v>-2451.7</v>
      </c>
      <c r="N236" s="27"/>
      <c r="O236" s="40">
        <f t="shared" si="8"/>
        <v>7707.183</v>
      </c>
      <c r="P236" s="21"/>
    </row>
    <row r="237" spans="3:16" ht="15.75" customHeight="1">
      <c r="C237" s="43" t="s">
        <v>222</v>
      </c>
      <c r="E237" s="48" t="s">
        <v>664</v>
      </c>
      <c r="F237" s="159"/>
      <c r="G237" s="46">
        <v>33100</v>
      </c>
      <c r="H237" s="135">
        <v>44058</v>
      </c>
      <c r="I237" s="3"/>
      <c r="J237" s="34" t="s">
        <v>619</v>
      </c>
      <c r="K237" s="40">
        <v>21418.606</v>
      </c>
      <c r="L237" s="21"/>
      <c r="M237" s="51">
        <v>-4159.3</v>
      </c>
      <c r="N237" s="27"/>
      <c r="O237" s="40">
        <f t="shared" si="8"/>
        <v>17259.306</v>
      </c>
      <c r="P237" s="21"/>
    </row>
    <row r="238" spans="3:16" ht="15.75" customHeight="1">
      <c r="C238" s="43" t="s">
        <v>223</v>
      </c>
      <c r="E238" s="48" t="s">
        <v>658</v>
      </c>
      <c r="F238" s="159"/>
      <c r="G238" s="46">
        <v>33284</v>
      </c>
      <c r="H238" s="135">
        <v>44242</v>
      </c>
      <c r="I238" s="3"/>
      <c r="J238" s="34" t="s">
        <v>619</v>
      </c>
      <c r="K238" s="40">
        <v>11113.373</v>
      </c>
      <c r="L238" s="21"/>
      <c r="M238" s="51">
        <v>-917.8</v>
      </c>
      <c r="N238" s="27"/>
      <c r="O238" s="40">
        <f t="shared" si="8"/>
        <v>10195.573</v>
      </c>
      <c r="P238" s="21"/>
    </row>
    <row r="239" spans="3:16" ht="15.75" customHeight="1">
      <c r="C239" s="43" t="s">
        <v>224</v>
      </c>
      <c r="E239" s="48" t="s">
        <v>697</v>
      </c>
      <c r="F239" s="159"/>
      <c r="G239" s="46">
        <v>33373</v>
      </c>
      <c r="H239" s="135">
        <v>44331</v>
      </c>
      <c r="I239" s="3"/>
      <c r="J239" s="34" t="s">
        <v>637</v>
      </c>
      <c r="K239" s="40">
        <v>11958.888</v>
      </c>
      <c r="L239" s="21"/>
      <c r="M239" s="51">
        <v>-1767.1</v>
      </c>
      <c r="N239" s="27"/>
      <c r="O239" s="40">
        <f t="shared" si="8"/>
        <v>10191.788</v>
      </c>
      <c r="P239" s="21"/>
    </row>
    <row r="240" spans="3:16" ht="15.75" customHeight="1">
      <c r="C240" s="43" t="s">
        <v>225</v>
      </c>
      <c r="E240" s="48" t="s">
        <v>697</v>
      </c>
      <c r="F240" s="159"/>
      <c r="G240" s="46">
        <v>33465</v>
      </c>
      <c r="H240" s="135">
        <v>44423</v>
      </c>
      <c r="I240" s="3"/>
      <c r="J240" s="34" t="s">
        <v>619</v>
      </c>
      <c r="K240" s="40">
        <v>12163.482</v>
      </c>
      <c r="L240" s="21"/>
      <c r="M240" s="51">
        <v>-2237.1</v>
      </c>
      <c r="N240" s="27"/>
      <c r="O240" s="40">
        <f t="shared" si="8"/>
        <v>9926.382</v>
      </c>
      <c r="P240" s="21"/>
    </row>
    <row r="241" spans="3:16" ht="15.75" customHeight="1">
      <c r="C241" s="43" t="s">
        <v>226</v>
      </c>
      <c r="E241" s="48">
        <v>8</v>
      </c>
      <c r="F241" s="159"/>
      <c r="G241" s="46">
        <v>33557</v>
      </c>
      <c r="H241" s="135">
        <v>44515</v>
      </c>
      <c r="I241" s="3"/>
      <c r="J241" s="34" t="s">
        <v>637</v>
      </c>
      <c r="K241" s="40">
        <v>32798.394</v>
      </c>
      <c r="L241" s="21"/>
      <c r="M241" s="51">
        <v>-2166.2</v>
      </c>
      <c r="N241" s="27"/>
      <c r="O241" s="40">
        <f t="shared" si="8"/>
        <v>30632.194</v>
      </c>
      <c r="P241" s="21"/>
    </row>
    <row r="242" spans="3:16" ht="15.75" customHeight="1">
      <c r="C242" s="43" t="s">
        <v>227</v>
      </c>
      <c r="E242" s="48" t="s">
        <v>668</v>
      </c>
      <c r="F242" s="159"/>
      <c r="G242" s="46">
        <v>33833</v>
      </c>
      <c r="H242" s="135">
        <v>44788</v>
      </c>
      <c r="I242" s="3"/>
      <c r="J242" s="34" t="s">
        <v>619</v>
      </c>
      <c r="K242" s="40">
        <v>10352.79</v>
      </c>
      <c r="L242" s="21"/>
      <c r="M242" s="51">
        <v>-125</v>
      </c>
      <c r="N242" s="27"/>
      <c r="O242" s="40">
        <f t="shared" si="8"/>
        <v>10227.79</v>
      </c>
      <c r="P242" s="21"/>
    </row>
    <row r="243" spans="3:16" ht="15.75" customHeight="1">
      <c r="C243" s="43" t="s">
        <v>228</v>
      </c>
      <c r="E243" s="48" t="s">
        <v>671</v>
      </c>
      <c r="F243" s="159"/>
      <c r="G243" s="46">
        <v>33924</v>
      </c>
      <c r="H243" s="135">
        <v>44880</v>
      </c>
      <c r="I243" s="3"/>
      <c r="J243" s="34" t="s">
        <v>637</v>
      </c>
      <c r="K243" s="40">
        <v>10699.626</v>
      </c>
      <c r="L243" s="21"/>
      <c r="M243" s="51">
        <v>-3276</v>
      </c>
      <c r="N243" s="27"/>
      <c r="O243" s="40">
        <f t="shared" si="8"/>
        <v>7423.626</v>
      </c>
      <c r="P243" s="21"/>
    </row>
    <row r="244" spans="3:16" ht="15.75" customHeight="1">
      <c r="C244" s="43" t="s">
        <v>229</v>
      </c>
      <c r="E244" s="48" t="s">
        <v>652</v>
      </c>
      <c r="F244" s="159"/>
      <c r="G244" s="46">
        <v>34016</v>
      </c>
      <c r="H244" s="135">
        <v>44972</v>
      </c>
      <c r="I244" s="3"/>
      <c r="J244" s="34" t="s">
        <v>619</v>
      </c>
      <c r="K244" s="40">
        <v>18374.361</v>
      </c>
      <c r="L244" s="21"/>
      <c r="M244" s="51">
        <v>-2222.3</v>
      </c>
      <c r="N244" s="27"/>
      <c r="O244" s="40">
        <f t="shared" si="8"/>
        <v>16152.061000000002</v>
      </c>
      <c r="P244" s="21"/>
    </row>
    <row r="245" spans="3:16" ht="15.75" customHeight="1">
      <c r="C245" s="43" t="s">
        <v>230</v>
      </c>
      <c r="E245" s="48" t="s">
        <v>628</v>
      </c>
      <c r="F245" s="159"/>
      <c r="G245" s="46">
        <v>34197</v>
      </c>
      <c r="H245" s="135">
        <v>45153</v>
      </c>
      <c r="I245" s="3"/>
      <c r="J245" s="34" t="s">
        <v>619</v>
      </c>
      <c r="K245" s="40">
        <v>22909.044</v>
      </c>
      <c r="L245" s="21"/>
      <c r="M245" s="51">
        <v>-250</v>
      </c>
      <c r="N245" s="27"/>
      <c r="O245" s="40">
        <f t="shared" si="8"/>
        <v>22659.044</v>
      </c>
      <c r="P245" s="21"/>
    </row>
    <row r="246" spans="3:16" ht="15.75" customHeight="1">
      <c r="C246" s="43" t="s">
        <v>231</v>
      </c>
      <c r="E246" s="48" t="s">
        <v>655</v>
      </c>
      <c r="F246" s="159"/>
      <c r="G246" s="46">
        <v>34561</v>
      </c>
      <c r="H246" s="135">
        <v>45611</v>
      </c>
      <c r="I246" s="3"/>
      <c r="J246" s="34" t="s">
        <v>637</v>
      </c>
      <c r="K246" s="40">
        <v>11469.662</v>
      </c>
      <c r="L246" s="21"/>
      <c r="M246" s="51">
        <v>-1765.5</v>
      </c>
      <c r="N246" s="27"/>
      <c r="O246" s="40">
        <f t="shared" si="8"/>
        <v>9704.162</v>
      </c>
      <c r="P246" s="21"/>
    </row>
    <row r="247" spans="3:16" ht="15.75" customHeight="1">
      <c r="C247" s="43" t="s">
        <v>232</v>
      </c>
      <c r="E247" s="48" t="s">
        <v>671</v>
      </c>
      <c r="F247" s="159"/>
      <c r="G247" s="46">
        <v>34745</v>
      </c>
      <c r="H247" s="135">
        <v>45703</v>
      </c>
      <c r="I247" s="3"/>
      <c r="J247" s="34" t="s">
        <v>619</v>
      </c>
      <c r="K247" s="40">
        <v>11725.17</v>
      </c>
      <c r="L247" s="21"/>
      <c r="M247" s="51">
        <v>-1706</v>
      </c>
      <c r="N247" s="27"/>
      <c r="O247" s="40">
        <f t="shared" si="8"/>
        <v>10019.17</v>
      </c>
      <c r="P247" s="21"/>
    </row>
    <row r="248" spans="3:16" ht="15.75" customHeight="1">
      <c r="C248" s="43" t="s">
        <v>233</v>
      </c>
      <c r="E248" s="48" t="s">
        <v>646</v>
      </c>
      <c r="F248" s="159"/>
      <c r="G248" s="46">
        <v>34926</v>
      </c>
      <c r="H248" s="135">
        <v>45884</v>
      </c>
      <c r="I248" s="3"/>
      <c r="J248" s="34" t="s">
        <v>619</v>
      </c>
      <c r="K248" s="40">
        <v>12602.007</v>
      </c>
      <c r="L248" s="21"/>
      <c r="M248" s="51">
        <v>-1334.8</v>
      </c>
      <c r="N248" s="27"/>
      <c r="O248" s="40">
        <f t="shared" si="8"/>
        <v>11267.207</v>
      </c>
      <c r="P248" s="21"/>
    </row>
    <row r="249" spans="3:16" ht="15.75" customHeight="1">
      <c r="C249" s="43" t="s">
        <v>234</v>
      </c>
      <c r="E249" s="48" t="s">
        <v>643</v>
      </c>
      <c r="F249" s="159"/>
      <c r="G249" s="46">
        <v>35110</v>
      </c>
      <c r="H249" s="135">
        <v>46068</v>
      </c>
      <c r="I249" s="3"/>
      <c r="J249" s="34" t="s">
        <v>619</v>
      </c>
      <c r="K249" s="40">
        <v>12904.916</v>
      </c>
      <c r="L249" s="21"/>
      <c r="M249" s="51">
        <v>-67</v>
      </c>
      <c r="N249" s="27"/>
      <c r="O249" s="40">
        <f t="shared" si="8"/>
        <v>12837.916</v>
      </c>
      <c r="P249" s="21"/>
    </row>
    <row r="250" spans="3:16" ht="15.75" customHeight="1">
      <c r="C250" s="43" t="s">
        <v>235</v>
      </c>
      <c r="E250" s="48" t="s">
        <v>640</v>
      </c>
      <c r="F250" s="159"/>
      <c r="G250" s="91">
        <v>35292</v>
      </c>
      <c r="H250" s="136">
        <v>46249</v>
      </c>
      <c r="I250" s="3"/>
      <c r="J250" s="34" t="s">
        <v>619</v>
      </c>
      <c r="K250" s="40">
        <v>10893.818</v>
      </c>
      <c r="L250" s="21"/>
      <c r="M250" s="51">
        <v>-1893.4</v>
      </c>
      <c r="N250" s="27"/>
      <c r="O250" s="40">
        <f t="shared" si="8"/>
        <v>9000.418</v>
      </c>
      <c r="P250" s="21"/>
    </row>
    <row r="251" spans="3:16" ht="15.75" customHeight="1">
      <c r="C251" s="43" t="s">
        <v>260</v>
      </c>
      <c r="E251" s="48" t="s">
        <v>633</v>
      </c>
      <c r="F251" s="159"/>
      <c r="G251" s="91">
        <v>35384</v>
      </c>
      <c r="H251" s="136">
        <v>46341</v>
      </c>
      <c r="I251" s="3"/>
      <c r="J251" s="34" t="s">
        <v>637</v>
      </c>
      <c r="K251" s="40">
        <v>11493.177</v>
      </c>
      <c r="L251" s="21"/>
      <c r="M251" s="51">
        <v>-623</v>
      </c>
      <c r="N251" s="27"/>
      <c r="O251" s="40">
        <f t="shared" si="8"/>
        <v>10870.177</v>
      </c>
      <c r="P251" s="21"/>
    </row>
    <row r="252" spans="3:16" ht="15.75" customHeight="1">
      <c r="C252" s="43" t="s">
        <v>478</v>
      </c>
      <c r="E252" s="48" t="s">
        <v>666</v>
      </c>
      <c r="F252" s="159"/>
      <c r="G252" s="91">
        <v>35479</v>
      </c>
      <c r="H252" s="136">
        <v>46433</v>
      </c>
      <c r="I252" s="3"/>
      <c r="J252" s="34" t="s">
        <v>619</v>
      </c>
      <c r="K252" s="40">
        <v>10456.071</v>
      </c>
      <c r="L252" s="21"/>
      <c r="M252" s="51">
        <v>-854.1</v>
      </c>
      <c r="N252" s="27"/>
      <c r="O252" s="40">
        <f t="shared" si="8"/>
        <v>9601.971</v>
      </c>
      <c r="P252" s="21"/>
    </row>
    <row r="253" spans="3:16" ht="15.75" customHeight="1">
      <c r="C253" s="43" t="s">
        <v>114</v>
      </c>
      <c r="E253" s="48" t="s">
        <v>612</v>
      </c>
      <c r="F253" s="159"/>
      <c r="G253" s="91">
        <v>35657</v>
      </c>
      <c r="H253" s="136">
        <v>46614</v>
      </c>
      <c r="I253" s="3"/>
      <c r="J253" s="34" t="s">
        <v>619</v>
      </c>
      <c r="K253" s="40">
        <v>10735.756</v>
      </c>
      <c r="L253" s="21"/>
      <c r="M253" s="51">
        <v>-1379</v>
      </c>
      <c r="N253" s="27"/>
      <c r="O253" s="40">
        <f>K253+M253</f>
        <v>9356.756</v>
      </c>
      <c r="P253" s="21"/>
    </row>
    <row r="254" spans="3:16" ht="14.25" customHeight="1">
      <c r="C254" s="43" t="s">
        <v>438</v>
      </c>
      <c r="E254" s="48" t="s">
        <v>663</v>
      </c>
      <c r="F254" s="159"/>
      <c r="G254" s="91">
        <v>35751</v>
      </c>
      <c r="H254" s="136">
        <v>46706</v>
      </c>
      <c r="I254" s="3"/>
      <c r="J254" s="34" t="s">
        <v>637</v>
      </c>
      <c r="K254" s="40">
        <v>22518.539</v>
      </c>
      <c r="L254" s="21"/>
      <c r="M254" s="51">
        <v>-497.2</v>
      </c>
      <c r="N254" s="27"/>
      <c r="O254" s="40">
        <f>K254+M254</f>
        <v>22021.339</v>
      </c>
      <c r="P254" s="21"/>
    </row>
    <row r="255" spans="3:16" ht="15.75" customHeight="1">
      <c r="C255" s="43" t="s">
        <v>239</v>
      </c>
      <c r="E255" s="90" t="s">
        <v>622</v>
      </c>
      <c r="F255" s="159"/>
      <c r="G255" s="91">
        <v>36024</v>
      </c>
      <c r="H255" s="136">
        <v>46980</v>
      </c>
      <c r="I255" s="3"/>
      <c r="J255" s="34" t="s">
        <v>619</v>
      </c>
      <c r="K255" s="40">
        <v>11776.201</v>
      </c>
      <c r="L255" s="21"/>
      <c r="M255" s="47" t="s">
        <v>601</v>
      </c>
      <c r="N255" s="27"/>
      <c r="O255" s="40">
        <f>K255+M255</f>
        <v>11776.201</v>
      </c>
      <c r="P255" s="21"/>
    </row>
    <row r="256" spans="1:16" ht="15.75" customHeight="1" thickBot="1">
      <c r="A256" s="102"/>
      <c r="B256" s="102"/>
      <c r="C256" s="131"/>
      <c r="D256" s="102"/>
      <c r="E256" s="103"/>
      <c r="F256" s="177"/>
      <c r="G256" s="429"/>
      <c r="H256" s="430"/>
      <c r="I256" s="132"/>
      <c r="J256" s="103"/>
      <c r="K256" s="105"/>
      <c r="L256" s="105"/>
      <c r="M256" s="174"/>
      <c r="N256" s="106"/>
      <c r="O256" s="105"/>
      <c r="P256" s="105"/>
    </row>
    <row r="257" spans="1:16" ht="16.5" thickTop="1">
      <c r="A257" s="96"/>
      <c r="B257" s="2" t="str">
        <f>B85</f>
        <v>TABLE III - DETAIL OF TREASURY SECURITIES OUTSTANDING, MARCH 31, 2002 -- Continued</v>
      </c>
      <c r="C257" s="2"/>
      <c r="D257" s="3"/>
      <c r="E257" s="3"/>
      <c r="F257" s="3"/>
      <c r="G257" s="3"/>
      <c r="H257" s="3"/>
      <c r="I257" s="29"/>
      <c r="J257" s="3"/>
      <c r="K257" s="3"/>
      <c r="L257" s="3"/>
      <c r="M257" s="3"/>
      <c r="N257" s="3"/>
      <c r="O257" s="3"/>
      <c r="P257" s="97">
        <v>5</v>
      </c>
    </row>
    <row r="258" spans="1:16" ht="10.5" customHeight="1" thickBot="1">
      <c r="A258" s="2"/>
      <c r="B258" s="2"/>
      <c r="C258" s="2"/>
      <c r="D258" s="3"/>
      <c r="E258" s="3"/>
      <c r="F258" s="3"/>
      <c r="G258" s="3"/>
      <c r="H258" s="3"/>
      <c r="I258" s="29"/>
      <c r="K258" s="3"/>
      <c r="L258" s="3"/>
      <c r="M258" s="3"/>
      <c r="N258" s="3"/>
      <c r="O258" s="3"/>
      <c r="P258" s="2"/>
    </row>
    <row r="259" spans="1:16" ht="15.75" thickTop="1">
      <c r="A259" s="32"/>
      <c r="B259" s="32"/>
      <c r="C259" s="32"/>
      <c r="D259" s="32"/>
      <c r="E259" s="32"/>
      <c r="F259" s="32"/>
      <c r="G259" s="26"/>
      <c r="H259" s="26"/>
      <c r="I259" s="33"/>
      <c r="J259" s="67"/>
      <c r="K259" s="26"/>
      <c r="L259" s="32"/>
      <c r="M259" s="32"/>
      <c r="N259" s="32"/>
      <c r="O259" s="32"/>
      <c r="P259" s="32"/>
    </row>
    <row r="260" spans="7:16" ht="15.75" customHeight="1">
      <c r="G260" s="16" t="s">
        <v>587</v>
      </c>
      <c r="H260" s="16" t="s">
        <v>588</v>
      </c>
      <c r="I260" s="29"/>
      <c r="J260" s="34" t="s">
        <v>589</v>
      </c>
      <c r="K260" s="16" t="s">
        <v>590</v>
      </c>
      <c r="L260" s="3"/>
      <c r="M260" s="3"/>
      <c r="N260" s="3"/>
      <c r="O260" s="3"/>
      <c r="P260" s="3"/>
    </row>
    <row r="261" spans="1:11" ht="15.75" customHeight="1">
      <c r="A261" s="3" t="s">
        <v>591</v>
      </c>
      <c r="B261" s="3"/>
      <c r="C261" s="3"/>
      <c r="D261" s="3"/>
      <c r="E261" s="3"/>
      <c r="F261" s="3"/>
      <c r="G261" s="16" t="s">
        <v>592</v>
      </c>
      <c r="H261" s="16" t="s">
        <v>593</v>
      </c>
      <c r="I261" s="29"/>
      <c r="J261" s="34" t="s">
        <v>594</v>
      </c>
      <c r="K261" s="14"/>
    </row>
    <row r="262" spans="1:16" ht="16.5" customHeight="1">
      <c r="A262" s="15"/>
      <c r="B262" s="15"/>
      <c r="C262" s="15"/>
      <c r="D262" s="15"/>
      <c r="E262" s="15"/>
      <c r="F262" s="15"/>
      <c r="G262" s="35"/>
      <c r="H262" s="35"/>
      <c r="I262" s="36"/>
      <c r="J262" s="61"/>
      <c r="K262" s="37" t="s">
        <v>595</v>
      </c>
      <c r="L262" s="38"/>
      <c r="M262" s="37" t="s">
        <v>596</v>
      </c>
      <c r="N262" s="38"/>
      <c r="O262" s="37" t="s">
        <v>563</v>
      </c>
      <c r="P262" s="38"/>
    </row>
    <row r="263" spans="1:16" ht="15.75" customHeight="1">
      <c r="A263" s="63"/>
      <c r="B263" s="63"/>
      <c r="C263" s="63"/>
      <c r="D263" s="63"/>
      <c r="E263" s="63"/>
      <c r="F263" s="63"/>
      <c r="G263" s="14"/>
      <c r="H263" s="14"/>
      <c r="I263" s="98"/>
      <c r="J263" s="34"/>
      <c r="K263" s="16"/>
      <c r="L263" s="99"/>
      <c r="M263" s="16"/>
      <c r="N263" s="99"/>
      <c r="O263" s="16"/>
      <c r="P263" s="99"/>
    </row>
    <row r="264" spans="1:16" ht="18" customHeight="1">
      <c r="A264" s="60" t="s">
        <v>573</v>
      </c>
      <c r="B264" s="60"/>
      <c r="F264" s="62"/>
      <c r="G264" s="141"/>
      <c r="H264" s="125"/>
      <c r="I264" s="39"/>
      <c r="J264" s="68"/>
      <c r="K264" s="14"/>
      <c r="M264" s="14"/>
      <c r="O264" s="40"/>
      <c r="P264" s="21"/>
    </row>
    <row r="265" spans="2:16" ht="17.25" customHeight="1">
      <c r="B265" s="9" t="s">
        <v>599</v>
      </c>
      <c r="D265" s="3"/>
      <c r="E265" s="3" t="s">
        <v>607</v>
      </c>
      <c r="F265" s="3"/>
      <c r="G265" s="70"/>
      <c r="I265" s="42"/>
      <c r="J265" s="68"/>
      <c r="K265" s="14"/>
      <c r="M265" s="14"/>
      <c r="O265" s="40"/>
      <c r="P265" s="21"/>
    </row>
    <row r="266" spans="3:16" ht="15.75" customHeight="1">
      <c r="C266" s="43" t="s">
        <v>113</v>
      </c>
      <c r="E266" s="90" t="s">
        <v>665</v>
      </c>
      <c r="F266" s="159"/>
      <c r="G266" s="91">
        <v>36115</v>
      </c>
      <c r="H266" s="136">
        <v>47072</v>
      </c>
      <c r="I266" s="3"/>
      <c r="J266" s="34" t="s">
        <v>637</v>
      </c>
      <c r="K266" s="40">
        <v>10947.052</v>
      </c>
      <c r="L266" s="21"/>
      <c r="M266" s="47" t="s">
        <v>601</v>
      </c>
      <c r="N266" s="27"/>
      <c r="O266" s="40">
        <f>K266+M266</f>
        <v>10947.052</v>
      </c>
      <c r="P266" s="21"/>
    </row>
    <row r="267" spans="3:16" ht="15.75" customHeight="1">
      <c r="C267" s="43" t="s">
        <v>437</v>
      </c>
      <c r="E267" s="90" t="s">
        <v>665</v>
      </c>
      <c r="F267" s="159"/>
      <c r="G267" s="91">
        <v>36207</v>
      </c>
      <c r="H267" s="136">
        <v>47164</v>
      </c>
      <c r="I267" s="3"/>
      <c r="J267" s="34" t="s">
        <v>619</v>
      </c>
      <c r="K267" s="40">
        <v>11350.341</v>
      </c>
      <c r="L267" s="21"/>
      <c r="M267" s="47" t="s">
        <v>601</v>
      </c>
      <c r="N267" s="27"/>
      <c r="O267" s="40">
        <f aca="true" t="shared" si="9" ref="O267:O272">K267+M267</f>
        <v>11350.341</v>
      </c>
      <c r="P267" s="41"/>
    </row>
    <row r="268" spans="3:16" ht="15.75" customHeight="1">
      <c r="C268" s="89" t="s">
        <v>242</v>
      </c>
      <c r="E268" s="48" t="s">
        <v>663</v>
      </c>
      <c r="F268" s="159"/>
      <c r="G268" s="91">
        <v>36388</v>
      </c>
      <c r="H268" s="136">
        <v>47345</v>
      </c>
      <c r="I268" s="3"/>
      <c r="J268" s="34" t="s">
        <v>619</v>
      </c>
      <c r="K268" s="40">
        <v>11178.58</v>
      </c>
      <c r="L268" s="21"/>
      <c r="M268" s="47" t="s">
        <v>601</v>
      </c>
      <c r="N268" s="27"/>
      <c r="O268" s="40">
        <f t="shared" si="9"/>
        <v>11178.58</v>
      </c>
      <c r="P268" s="21"/>
    </row>
    <row r="269" spans="3:16" ht="15.75" customHeight="1">
      <c r="C269" s="89" t="s">
        <v>243</v>
      </c>
      <c r="E269" s="48" t="s">
        <v>628</v>
      </c>
      <c r="F269" s="159"/>
      <c r="G269" s="91">
        <v>36571</v>
      </c>
      <c r="H269" s="136">
        <v>47618</v>
      </c>
      <c r="I269" s="3"/>
      <c r="J269" s="34" t="s">
        <v>637</v>
      </c>
      <c r="K269" s="40">
        <v>17043.162</v>
      </c>
      <c r="L269" s="21"/>
      <c r="M269" s="47" t="s">
        <v>601</v>
      </c>
      <c r="N269" s="27"/>
      <c r="O269" s="40">
        <f t="shared" si="9"/>
        <v>17043.162</v>
      </c>
      <c r="P269" s="21"/>
    </row>
    <row r="270" spans="3:16" ht="15.75" customHeight="1">
      <c r="C270" s="89" t="s">
        <v>129</v>
      </c>
      <c r="E270" s="90" t="s">
        <v>661</v>
      </c>
      <c r="F270" s="159"/>
      <c r="G270" s="91">
        <v>36937</v>
      </c>
      <c r="H270" s="136">
        <v>47894</v>
      </c>
      <c r="I270" s="3"/>
      <c r="J270" s="34" t="s">
        <v>619</v>
      </c>
      <c r="K270" s="40">
        <v>16427.648</v>
      </c>
      <c r="L270" s="21"/>
      <c r="M270" s="47" t="s">
        <v>601</v>
      </c>
      <c r="N270" s="27"/>
      <c r="O270" s="40">
        <f t="shared" si="9"/>
        <v>16427.648</v>
      </c>
      <c r="P270" s="21"/>
    </row>
    <row r="271" spans="2:16" ht="15.75" customHeight="1">
      <c r="B271" s="9" t="s">
        <v>515</v>
      </c>
      <c r="F271" s="43"/>
      <c r="G271" s="16" t="s">
        <v>602</v>
      </c>
      <c r="H271" s="46" t="s">
        <v>602</v>
      </c>
      <c r="I271" s="3"/>
      <c r="J271" s="34" t="s">
        <v>602</v>
      </c>
      <c r="K271" s="56">
        <f>SUM(K182:K270)</f>
        <v>660343.947</v>
      </c>
      <c r="L271" s="229"/>
      <c r="M271" s="56">
        <f>SUM(M182:M270)</f>
        <v>-63656.299999999996</v>
      </c>
      <c r="N271" s="229"/>
      <c r="O271" s="56">
        <f t="shared" si="9"/>
        <v>596687.647</v>
      </c>
      <c r="P271" s="229"/>
    </row>
    <row r="272" spans="2:16" ht="15.75" customHeight="1">
      <c r="B272" t="s">
        <v>516</v>
      </c>
      <c r="F272" s="43"/>
      <c r="G272" s="16" t="s">
        <v>602</v>
      </c>
      <c r="H272" s="46" t="s">
        <v>602</v>
      </c>
      <c r="I272" s="3"/>
      <c r="J272" s="34" t="s">
        <v>602</v>
      </c>
      <c r="K272" s="56">
        <v>96.824</v>
      </c>
      <c r="L272" s="21"/>
      <c r="M272" s="47" t="s">
        <v>601</v>
      </c>
      <c r="N272" s="27"/>
      <c r="O272" s="40">
        <f t="shared" si="9"/>
        <v>96.824</v>
      </c>
      <c r="P272" s="21"/>
    </row>
    <row r="273" spans="2:16" ht="15.75" customHeight="1" thickBot="1">
      <c r="B273" s="75" t="s">
        <v>517</v>
      </c>
      <c r="F273" s="43"/>
      <c r="G273" s="16" t="s">
        <v>602</v>
      </c>
      <c r="H273" s="46" t="s">
        <v>602</v>
      </c>
      <c r="I273" s="3"/>
      <c r="J273" s="34" t="s">
        <v>602</v>
      </c>
      <c r="K273" s="235">
        <f>+K271+K272</f>
        <v>660440.7710000001</v>
      </c>
      <c r="L273" s="236"/>
      <c r="M273" s="235">
        <f>+M271+M272</f>
        <v>-63656.299999999996</v>
      </c>
      <c r="N273" s="236"/>
      <c r="O273" s="235">
        <f>+K273+M273</f>
        <v>596784.471</v>
      </c>
      <c r="P273" s="236"/>
    </row>
    <row r="274" spans="6:16" ht="15.75" customHeight="1" thickTop="1">
      <c r="F274" s="43"/>
      <c r="G274" s="16"/>
      <c r="H274" s="46"/>
      <c r="I274" s="3"/>
      <c r="J274" s="34"/>
      <c r="K274" s="40"/>
      <c r="L274" s="110"/>
      <c r="M274" s="40"/>
      <c r="N274" s="110"/>
      <c r="O274" s="40"/>
      <c r="P274" s="110"/>
    </row>
    <row r="275" spans="2:15" ht="21" customHeight="1">
      <c r="B275" t="s">
        <v>698</v>
      </c>
      <c r="C275" s="43"/>
      <c r="D275" s="65"/>
      <c r="F275" s="159" t="s">
        <v>798</v>
      </c>
      <c r="G275" s="45"/>
      <c r="H275" s="45"/>
      <c r="J275" s="34"/>
      <c r="K275" s="14"/>
      <c r="M275" s="14"/>
      <c r="O275" s="14"/>
    </row>
    <row r="276" spans="2:15" ht="17.25" customHeight="1">
      <c r="B276" s="9" t="s">
        <v>599</v>
      </c>
      <c r="D276" s="3" t="s">
        <v>606</v>
      </c>
      <c r="E276" s="3" t="s">
        <v>607</v>
      </c>
      <c r="F276" s="3"/>
      <c r="G276" s="70"/>
      <c r="I276" s="3"/>
      <c r="J276" s="34"/>
      <c r="K276" s="14"/>
      <c r="M276" s="14"/>
      <c r="O276" s="14"/>
    </row>
    <row r="277" spans="3:16" ht="15.75" customHeight="1">
      <c r="C277" s="43" t="s">
        <v>425</v>
      </c>
      <c r="D277" s="48" t="s">
        <v>614</v>
      </c>
      <c r="E277" s="90" t="s">
        <v>699</v>
      </c>
      <c r="F277" s="159" t="s">
        <v>560</v>
      </c>
      <c r="G277" s="46">
        <v>35626</v>
      </c>
      <c r="H277" s="91">
        <v>37452</v>
      </c>
      <c r="I277" s="88"/>
      <c r="J277" s="34" t="s">
        <v>613</v>
      </c>
      <c r="K277" s="40">
        <v>16817.356</v>
      </c>
      <c r="L277" s="21"/>
      <c r="M277" s="114">
        <v>1777.931</v>
      </c>
      <c r="N277" s="27"/>
      <c r="O277" s="40">
        <f aca="true" t="shared" si="10" ref="O277:O283">K277+M277</f>
        <v>18595.287</v>
      </c>
      <c r="P277" s="21"/>
    </row>
    <row r="278" spans="3:16" ht="15.75" customHeight="1">
      <c r="C278" s="43" t="s">
        <v>245</v>
      </c>
      <c r="D278" s="48" t="s">
        <v>617</v>
      </c>
      <c r="E278" s="90" t="s">
        <v>700</v>
      </c>
      <c r="F278" s="159"/>
      <c r="G278" s="46">
        <v>35467</v>
      </c>
      <c r="H278" s="91">
        <v>39097</v>
      </c>
      <c r="I278" s="88"/>
      <c r="J278" s="34" t="s">
        <v>613</v>
      </c>
      <c r="K278" s="40">
        <v>15757.971</v>
      </c>
      <c r="L278" s="21"/>
      <c r="M278" s="114">
        <v>1855.028</v>
      </c>
      <c r="N278" s="27"/>
      <c r="O278" s="40">
        <f t="shared" si="10"/>
        <v>17612.999</v>
      </c>
      <c r="P278" s="21"/>
    </row>
    <row r="279" spans="3:16" ht="15.75" customHeight="1">
      <c r="C279" s="43" t="s">
        <v>246</v>
      </c>
      <c r="D279" s="48" t="s">
        <v>617</v>
      </c>
      <c r="E279" s="90" t="s">
        <v>699</v>
      </c>
      <c r="F279" s="159"/>
      <c r="G279" s="46">
        <v>35810</v>
      </c>
      <c r="H279" s="91">
        <v>39462</v>
      </c>
      <c r="I279" s="88"/>
      <c r="J279" s="34" t="s">
        <v>613</v>
      </c>
      <c r="K279" s="40">
        <v>16811.55</v>
      </c>
      <c r="L279" s="21"/>
      <c r="M279" s="114">
        <v>1616.262</v>
      </c>
      <c r="N279" s="27"/>
      <c r="O279" s="40">
        <f t="shared" si="10"/>
        <v>18427.811999999998</v>
      </c>
      <c r="P279" s="21"/>
    </row>
    <row r="280" spans="3:16" ht="15.75" customHeight="1">
      <c r="C280" s="43" t="s">
        <v>247</v>
      </c>
      <c r="D280" s="48" t="s">
        <v>617</v>
      </c>
      <c r="E280" s="90" t="s">
        <v>324</v>
      </c>
      <c r="F280" s="159"/>
      <c r="G280" s="52">
        <v>36175</v>
      </c>
      <c r="H280" s="91">
        <v>39828</v>
      </c>
      <c r="I280" s="88"/>
      <c r="J280" s="34" t="s">
        <v>613</v>
      </c>
      <c r="K280" s="40">
        <v>15902.397</v>
      </c>
      <c r="L280" s="21"/>
      <c r="M280" s="114">
        <v>1269.011</v>
      </c>
      <c r="N280" s="27"/>
      <c r="O280" s="40">
        <f t="shared" si="10"/>
        <v>17171.408</v>
      </c>
      <c r="P280" s="21"/>
    </row>
    <row r="281" spans="3:16" ht="15.75" customHeight="1">
      <c r="C281" s="43" t="s">
        <v>248</v>
      </c>
      <c r="D281" s="48" t="s">
        <v>617</v>
      </c>
      <c r="E281" s="90" t="s">
        <v>667</v>
      </c>
      <c r="F281" s="159"/>
      <c r="G281" s="52">
        <v>36543</v>
      </c>
      <c r="H281" s="91">
        <v>40193</v>
      </c>
      <c r="I281" s="88"/>
      <c r="J281" s="34" t="s">
        <v>613</v>
      </c>
      <c r="K281" s="40">
        <v>11320.963</v>
      </c>
      <c r="L281" s="21"/>
      <c r="M281" s="114">
        <v>594.917</v>
      </c>
      <c r="N281" s="27"/>
      <c r="O281" s="40">
        <f t="shared" si="10"/>
        <v>11915.88</v>
      </c>
      <c r="P281" s="21"/>
    </row>
    <row r="282" spans="3:16" ht="15.75" customHeight="1">
      <c r="C282" s="43" t="s">
        <v>710</v>
      </c>
      <c r="D282" s="48" t="s">
        <v>617</v>
      </c>
      <c r="E282" s="90" t="s">
        <v>711</v>
      </c>
      <c r="F282" s="159"/>
      <c r="G282" s="52">
        <v>36907</v>
      </c>
      <c r="H282" s="91">
        <v>40558</v>
      </c>
      <c r="I282" s="3"/>
      <c r="J282" s="137" t="s">
        <v>613</v>
      </c>
      <c r="K282" s="40">
        <v>11001.036</v>
      </c>
      <c r="L282" s="21"/>
      <c r="M282" s="51">
        <v>192.298</v>
      </c>
      <c r="N282" s="43"/>
      <c r="O282" s="40">
        <f t="shared" si="10"/>
        <v>11193.334</v>
      </c>
      <c r="P282" s="21"/>
    </row>
    <row r="283" spans="3:16" ht="15.75" customHeight="1">
      <c r="C283" s="43" t="s">
        <v>46</v>
      </c>
      <c r="D283" s="48" t="s">
        <v>617</v>
      </c>
      <c r="E283" s="90" t="s">
        <v>700</v>
      </c>
      <c r="F283" s="159"/>
      <c r="G283" s="52">
        <v>37271</v>
      </c>
      <c r="H283" s="91">
        <v>40923</v>
      </c>
      <c r="I283" s="3"/>
      <c r="J283" s="137" t="s">
        <v>613</v>
      </c>
      <c r="K283" s="40">
        <v>6004.173</v>
      </c>
      <c r="L283" s="21"/>
      <c r="M283" s="47" t="s">
        <v>601</v>
      </c>
      <c r="N283" s="27"/>
      <c r="O283" s="40">
        <f t="shared" si="10"/>
        <v>6004.173</v>
      </c>
      <c r="P283" s="21"/>
    </row>
    <row r="284" spans="2:16" s="75" customFormat="1" ht="21" customHeight="1" thickBot="1">
      <c r="B284" s="241" t="s">
        <v>518</v>
      </c>
      <c r="F284" s="242"/>
      <c r="G284" s="243" t="s">
        <v>602</v>
      </c>
      <c r="H284" s="244" t="s">
        <v>602</v>
      </c>
      <c r="I284" s="76"/>
      <c r="J284" s="245" t="s">
        <v>602</v>
      </c>
      <c r="K284" s="235">
        <f>SUM(K277:K283)+1</f>
        <v>93616.44599999998</v>
      </c>
      <c r="L284" s="236"/>
      <c r="M284" s="246">
        <f>SUM(M277:M283)</f>
        <v>7305.447</v>
      </c>
      <c r="N284" s="239"/>
      <c r="O284" s="235">
        <f>K284+M284-1</f>
        <v>100920.89299999998</v>
      </c>
      <c r="P284" s="236"/>
    </row>
    <row r="285" spans="2:16" ht="15.75" customHeight="1" thickTop="1">
      <c r="B285" s="86"/>
      <c r="F285" s="43"/>
      <c r="G285" s="16"/>
      <c r="H285" s="46"/>
      <c r="I285" s="3"/>
      <c r="J285" s="34"/>
      <c r="K285" s="40"/>
      <c r="L285" s="110"/>
      <c r="M285" s="40"/>
      <c r="N285" s="110"/>
      <c r="O285" s="40"/>
      <c r="P285" s="110"/>
    </row>
    <row r="286" spans="2:16" ht="21" customHeight="1">
      <c r="B286" t="s">
        <v>701</v>
      </c>
      <c r="C286" s="43"/>
      <c r="D286" s="65"/>
      <c r="F286" s="159" t="s">
        <v>798</v>
      </c>
      <c r="G286" s="16"/>
      <c r="H286" s="46"/>
      <c r="I286" s="3"/>
      <c r="J286" s="34"/>
      <c r="K286" s="40"/>
      <c r="L286" s="110"/>
      <c r="M286" s="40"/>
      <c r="N286" s="110"/>
      <c r="O286" s="40"/>
      <c r="P286" s="110"/>
    </row>
    <row r="287" spans="2:16" ht="17.25" customHeight="1">
      <c r="B287" s="9" t="s">
        <v>599</v>
      </c>
      <c r="D287" s="3"/>
      <c r="E287" s="3" t="s">
        <v>607</v>
      </c>
      <c r="F287" s="3"/>
      <c r="G287" s="70"/>
      <c r="H287" s="91"/>
      <c r="I287" s="88"/>
      <c r="J287" s="34"/>
      <c r="K287" s="40"/>
      <c r="L287" s="110"/>
      <c r="M287" s="47"/>
      <c r="N287" s="27"/>
      <c r="O287" s="40"/>
      <c r="P287" s="110"/>
    </row>
    <row r="288" spans="2:16" ht="15.75" customHeight="1">
      <c r="B288" s="86"/>
      <c r="C288" s="43" t="s">
        <v>426</v>
      </c>
      <c r="D288" s="48"/>
      <c r="E288" s="90" t="s">
        <v>699</v>
      </c>
      <c r="F288" s="159"/>
      <c r="G288" s="46">
        <v>35900</v>
      </c>
      <c r="H288" s="91">
        <v>46858</v>
      </c>
      <c r="I288" s="88"/>
      <c r="J288" s="34" t="s">
        <v>631</v>
      </c>
      <c r="K288" s="40">
        <v>16808.478</v>
      </c>
      <c r="L288" s="21"/>
      <c r="M288" s="114">
        <v>1594.956</v>
      </c>
      <c r="N288" s="27"/>
      <c r="O288" s="40">
        <f>K288+M288</f>
        <v>18403.433999999997</v>
      </c>
      <c r="P288" s="21"/>
    </row>
    <row r="289" spans="2:15" ht="15.75" customHeight="1">
      <c r="B289" s="86"/>
      <c r="C289" s="43" t="s">
        <v>250</v>
      </c>
      <c r="D289" s="48"/>
      <c r="E289" s="90" t="s">
        <v>324</v>
      </c>
      <c r="F289" s="159"/>
      <c r="G289" s="52">
        <v>36265</v>
      </c>
      <c r="H289" s="91">
        <v>47223</v>
      </c>
      <c r="I289" s="88"/>
      <c r="J289" s="34" t="s">
        <v>631</v>
      </c>
      <c r="K289" s="40">
        <v>19722.104</v>
      </c>
      <c r="L289" s="21"/>
      <c r="M289" s="114">
        <v>1522.941</v>
      </c>
      <c r="N289" s="27"/>
      <c r="O289" s="40">
        <f>K289+M289</f>
        <v>21245.045</v>
      </c>
    </row>
    <row r="290" spans="2:15" ht="15.75" customHeight="1">
      <c r="B290" s="86"/>
      <c r="C290" s="43" t="s">
        <v>753</v>
      </c>
      <c r="D290" s="48"/>
      <c r="E290" s="90" t="s">
        <v>700</v>
      </c>
      <c r="F290" s="159"/>
      <c r="G290" s="52">
        <v>37179</v>
      </c>
      <c r="H290" s="91">
        <v>48319</v>
      </c>
      <c r="I290" s="88"/>
      <c r="J290" s="34" t="s">
        <v>631</v>
      </c>
      <c r="K290" s="40">
        <v>5012.235</v>
      </c>
      <c r="L290" s="21"/>
      <c r="M290" s="47" t="s">
        <v>601</v>
      </c>
      <c r="N290" s="27"/>
      <c r="O290" s="40">
        <f>K290+M290</f>
        <v>5012.235</v>
      </c>
    </row>
    <row r="291" spans="2:16" s="75" customFormat="1" ht="21" customHeight="1" thickBot="1">
      <c r="B291" s="241" t="s">
        <v>519</v>
      </c>
      <c r="F291" s="242"/>
      <c r="G291" s="243" t="s">
        <v>602</v>
      </c>
      <c r="H291" s="244" t="s">
        <v>602</v>
      </c>
      <c r="I291" s="76"/>
      <c r="J291" s="245" t="s">
        <v>602</v>
      </c>
      <c r="K291" s="246">
        <f>SUM(K288:K290)</f>
        <v>41542.816999999995</v>
      </c>
      <c r="L291" s="236"/>
      <c r="M291" s="246">
        <f>SUM(M288:M290)</f>
        <v>3117.897</v>
      </c>
      <c r="N291" s="247"/>
      <c r="O291" s="235">
        <f>K291+M291</f>
        <v>44660.71399999999</v>
      </c>
      <c r="P291" s="236"/>
    </row>
    <row r="292" spans="2:16" ht="15.75" customHeight="1" thickTop="1">
      <c r="B292" s="86"/>
      <c r="F292" s="43"/>
      <c r="G292" s="16"/>
      <c r="H292" s="46"/>
      <c r="I292" s="3"/>
      <c r="J292" s="34"/>
      <c r="K292" s="40"/>
      <c r="L292" s="110"/>
      <c r="M292" s="40"/>
      <c r="N292" s="110"/>
      <c r="O292" s="40"/>
      <c r="P292" s="110"/>
    </row>
    <row r="293" spans="2:16" s="75" customFormat="1" ht="17.25" customHeight="1" thickBot="1">
      <c r="B293" s="241" t="s">
        <v>520</v>
      </c>
      <c r="F293" s="198"/>
      <c r="G293" s="243" t="s">
        <v>702</v>
      </c>
      <c r="H293" s="244" t="s">
        <v>702</v>
      </c>
      <c r="I293" s="76"/>
      <c r="J293" s="245" t="s">
        <v>702</v>
      </c>
      <c r="K293" s="248">
        <v>14999.99</v>
      </c>
      <c r="L293" s="249"/>
      <c r="M293" s="250" t="s">
        <v>703</v>
      </c>
      <c r="N293" s="251"/>
      <c r="O293" s="248">
        <f>K293-M293</f>
        <v>14999.99</v>
      </c>
      <c r="P293" s="249"/>
    </row>
    <row r="294" spans="6:16" ht="15.75" customHeight="1" thickTop="1">
      <c r="F294" s="43"/>
      <c r="G294" s="16"/>
      <c r="H294" s="46"/>
      <c r="I294" s="3"/>
      <c r="J294" s="34"/>
      <c r="K294" s="40"/>
      <c r="L294" s="21"/>
      <c r="M294" s="47"/>
      <c r="N294" s="27"/>
      <c r="O294" s="94"/>
      <c r="P294" s="21"/>
    </row>
    <row r="295" spans="1:16" ht="18" customHeight="1" thickBot="1">
      <c r="A295" s="240" t="s">
        <v>521</v>
      </c>
      <c r="B295" s="240"/>
      <c r="F295" s="71"/>
      <c r="G295" s="49" t="s">
        <v>602</v>
      </c>
      <c r="H295" s="49" t="s">
        <v>602</v>
      </c>
      <c r="I295" s="8"/>
      <c r="J295" s="50" t="s">
        <v>602</v>
      </c>
      <c r="K295" s="113">
        <f>+K291+K284+K273+K148+K56+K293-1</f>
        <v>3088257.6410000003</v>
      </c>
      <c r="L295" s="130"/>
      <c r="M295" s="113">
        <f>+M291+M284+M273+M148+M56+M293</f>
        <v>-53232.95599999999</v>
      </c>
      <c r="N295" s="130"/>
      <c r="O295" s="113">
        <f>K295+M295+1</f>
        <v>3035025.6850000005</v>
      </c>
      <c r="P295" s="129"/>
    </row>
    <row r="296" spans="6:16" ht="15.75" customHeight="1" thickTop="1">
      <c r="F296" s="115"/>
      <c r="G296" s="116"/>
      <c r="H296" s="116"/>
      <c r="I296" s="8"/>
      <c r="J296" s="117"/>
      <c r="K296" s="118"/>
      <c r="L296" s="119"/>
      <c r="M296" s="118"/>
      <c r="N296" s="119"/>
      <c r="O296" s="118"/>
      <c r="P296" s="120"/>
    </row>
    <row r="297" spans="6:16" ht="15.75" customHeight="1">
      <c r="F297" s="115"/>
      <c r="G297" s="116"/>
      <c r="H297" s="116"/>
      <c r="I297" s="8"/>
      <c r="J297" s="117"/>
      <c r="K297" s="118"/>
      <c r="L297" s="119"/>
      <c r="M297" s="118"/>
      <c r="N297" s="119"/>
      <c r="O297" s="118"/>
      <c r="P297" s="120"/>
    </row>
    <row r="298" spans="6:16" ht="15.75" customHeight="1">
      <c r="F298" s="115"/>
      <c r="G298" s="116"/>
      <c r="H298" s="116"/>
      <c r="I298" s="8"/>
      <c r="J298" s="117"/>
      <c r="K298" s="118"/>
      <c r="L298" s="119"/>
      <c r="M298" s="118"/>
      <c r="N298" s="119"/>
      <c r="O298" s="118"/>
      <c r="P298" s="120"/>
    </row>
    <row r="299" spans="6:16" ht="15.75" customHeight="1">
      <c r="F299" s="115"/>
      <c r="G299" s="116"/>
      <c r="H299" s="116"/>
      <c r="I299" s="8"/>
      <c r="J299" s="117"/>
      <c r="K299" s="118"/>
      <c r="L299" s="119"/>
      <c r="M299" s="118"/>
      <c r="N299" s="119"/>
      <c r="O299" s="118"/>
      <c r="P299" s="120"/>
    </row>
    <row r="300" spans="6:16" ht="15.75" customHeight="1">
      <c r="F300" s="115"/>
      <c r="G300" s="116"/>
      <c r="H300" s="116"/>
      <c r="I300" s="8"/>
      <c r="J300" s="117"/>
      <c r="K300" s="118"/>
      <c r="L300" s="119"/>
      <c r="M300" s="118"/>
      <c r="N300" s="119"/>
      <c r="O300" s="118"/>
      <c r="P300" s="120"/>
    </row>
    <row r="301" spans="6:16" ht="15.75" customHeight="1">
      <c r="F301" s="115"/>
      <c r="G301" s="116"/>
      <c r="H301" s="116"/>
      <c r="I301" s="8"/>
      <c r="J301" s="117"/>
      <c r="K301" s="118"/>
      <c r="L301" s="119"/>
      <c r="M301" s="118"/>
      <c r="N301" s="119"/>
      <c r="O301" s="118"/>
      <c r="P301" s="120"/>
    </row>
    <row r="302" spans="6:16" ht="15.75" customHeight="1">
      <c r="F302" s="115"/>
      <c r="G302" s="116"/>
      <c r="H302" s="116"/>
      <c r="I302" s="8"/>
      <c r="J302" s="117"/>
      <c r="K302" s="118"/>
      <c r="L302" s="119"/>
      <c r="M302" s="118"/>
      <c r="N302" s="119"/>
      <c r="O302" s="118"/>
      <c r="P302" s="120"/>
    </row>
    <row r="303" spans="6:16" ht="15.75" customHeight="1">
      <c r="F303" s="115"/>
      <c r="G303" s="116"/>
      <c r="H303" s="116"/>
      <c r="I303" s="8"/>
      <c r="J303" s="117"/>
      <c r="K303" s="118"/>
      <c r="L303" s="119"/>
      <c r="M303" s="118"/>
      <c r="N303" s="119"/>
      <c r="O303" s="118"/>
      <c r="P303" s="120"/>
    </row>
    <row r="304" spans="6:16" ht="15.75" customHeight="1">
      <c r="F304" s="115"/>
      <c r="G304" s="116"/>
      <c r="H304" s="116"/>
      <c r="I304" s="8"/>
      <c r="J304" s="117"/>
      <c r="K304" s="118"/>
      <c r="L304" s="119"/>
      <c r="M304" s="118"/>
      <c r="N304" s="119"/>
      <c r="O304" s="118"/>
      <c r="P304" s="120"/>
    </row>
    <row r="305" spans="6:16" ht="15.75" customHeight="1">
      <c r="F305" s="115"/>
      <c r="G305" s="116"/>
      <c r="H305" s="116"/>
      <c r="I305" s="8"/>
      <c r="J305" s="117"/>
      <c r="K305" s="118"/>
      <c r="L305" s="119"/>
      <c r="M305" s="118"/>
      <c r="N305" s="119"/>
      <c r="O305" s="118"/>
      <c r="P305" s="120"/>
    </row>
    <row r="306" spans="6:16" ht="15.75" customHeight="1">
      <c r="F306" s="115"/>
      <c r="G306" s="116"/>
      <c r="H306" s="116"/>
      <c r="I306" s="8"/>
      <c r="J306" s="117"/>
      <c r="K306" s="118"/>
      <c r="L306" s="119"/>
      <c r="M306" s="118"/>
      <c r="N306" s="119"/>
      <c r="O306" s="118"/>
      <c r="P306" s="120"/>
    </row>
    <row r="307" spans="6:16" ht="15.75" customHeight="1">
      <c r="F307" s="115"/>
      <c r="G307" s="116"/>
      <c r="H307" s="116"/>
      <c r="I307" s="8"/>
      <c r="J307" s="117"/>
      <c r="K307" s="118"/>
      <c r="L307" s="119"/>
      <c r="M307" s="118"/>
      <c r="N307" s="119"/>
      <c r="O307" s="118"/>
      <c r="P307" s="120"/>
    </row>
    <row r="308" spans="6:16" ht="15.75" customHeight="1">
      <c r="F308" s="115"/>
      <c r="G308" s="116"/>
      <c r="H308" s="116"/>
      <c r="I308" s="8"/>
      <c r="J308" s="117"/>
      <c r="K308" s="118"/>
      <c r="L308" s="119"/>
      <c r="M308" s="118"/>
      <c r="N308" s="119"/>
      <c r="O308" s="118"/>
      <c r="P308" s="120"/>
    </row>
    <row r="309" spans="6:16" ht="15.75" customHeight="1">
      <c r="F309" s="115"/>
      <c r="G309" s="116"/>
      <c r="H309" s="116"/>
      <c r="I309" s="8"/>
      <c r="J309" s="117"/>
      <c r="K309" s="118"/>
      <c r="L309" s="119"/>
      <c r="M309" s="118"/>
      <c r="N309" s="119"/>
      <c r="O309" s="118"/>
      <c r="P309" s="120"/>
    </row>
    <row r="310" spans="6:16" ht="15.75" customHeight="1">
      <c r="F310" s="115"/>
      <c r="G310" s="116"/>
      <c r="H310" s="116"/>
      <c r="I310" s="8"/>
      <c r="J310" s="117"/>
      <c r="K310" s="118"/>
      <c r="L310" s="119"/>
      <c r="M310" s="118"/>
      <c r="N310" s="119"/>
      <c r="O310" s="118"/>
      <c r="P310" s="120"/>
    </row>
    <row r="311" spans="6:16" ht="15.75" customHeight="1">
      <c r="F311" s="115"/>
      <c r="G311" s="116"/>
      <c r="H311" s="116"/>
      <c r="I311" s="8"/>
      <c r="J311" s="117"/>
      <c r="K311" s="118"/>
      <c r="L311" s="119"/>
      <c r="M311" s="118"/>
      <c r="N311" s="119"/>
      <c r="O311" s="118"/>
      <c r="P311" s="120"/>
    </row>
    <row r="312" spans="6:16" ht="15.75" customHeight="1">
      <c r="F312" s="115"/>
      <c r="G312" s="116"/>
      <c r="H312" s="116"/>
      <c r="I312" s="8"/>
      <c r="J312" s="117"/>
      <c r="K312" s="118"/>
      <c r="L312" s="119"/>
      <c r="M312" s="118"/>
      <c r="N312" s="119"/>
      <c r="O312" s="118"/>
      <c r="P312" s="120"/>
    </row>
    <row r="313" spans="6:16" ht="15.75" customHeight="1">
      <c r="F313" s="115"/>
      <c r="G313" s="116"/>
      <c r="H313" s="116"/>
      <c r="I313" s="8"/>
      <c r="J313" s="117"/>
      <c r="K313" s="118"/>
      <c r="L313" s="119"/>
      <c r="M313" s="118"/>
      <c r="N313" s="119"/>
      <c r="O313" s="118"/>
      <c r="P313" s="120"/>
    </row>
    <row r="314" spans="6:16" ht="15.75" customHeight="1">
      <c r="F314" s="115"/>
      <c r="G314" s="116"/>
      <c r="H314" s="116"/>
      <c r="I314" s="8"/>
      <c r="J314" s="117"/>
      <c r="K314" s="118"/>
      <c r="L314" s="119"/>
      <c r="M314" s="118"/>
      <c r="N314" s="119"/>
      <c r="O314" s="118"/>
      <c r="P314" s="120"/>
    </row>
    <row r="315" spans="6:16" ht="15.75" customHeight="1">
      <c r="F315" s="115"/>
      <c r="G315" s="116"/>
      <c r="H315" s="116"/>
      <c r="I315" s="8"/>
      <c r="J315" s="117"/>
      <c r="K315" s="118"/>
      <c r="L315" s="119"/>
      <c r="M315" s="118"/>
      <c r="N315" s="119"/>
      <c r="O315" s="118"/>
      <c r="P315" s="120"/>
    </row>
    <row r="316" spans="6:16" ht="15.75" customHeight="1">
      <c r="F316" s="115"/>
      <c r="G316" s="116"/>
      <c r="H316" s="116"/>
      <c r="I316" s="8"/>
      <c r="J316" s="117"/>
      <c r="K316" s="118"/>
      <c r="L316" s="119"/>
      <c r="M316" s="118"/>
      <c r="N316" s="119"/>
      <c r="O316" s="118"/>
      <c r="P316" s="120"/>
    </row>
    <row r="317" spans="6:16" ht="15.75" customHeight="1">
      <c r="F317" s="115"/>
      <c r="G317" s="116"/>
      <c r="H317" s="116"/>
      <c r="I317" s="8"/>
      <c r="J317" s="117"/>
      <c r="K317" s="118"/>
      <c r="L317" s="119"/>
      <c r="M317" s="118"/>
      <c r="N317" s="119"/>
      <c r="O317" s="118"/>
      <c r="P317" s="120"/>
    </row>
    <row r="318" spans="6:16" ht="15.75" customHeight="1">
      <c r="F318" s="115"/>
      <c r="G318" s="116"/>
      <c r="H318" s="116"/>
      <c r="I318" s="8"/>
      <c r="J318" s="117"/>
      <c r="K318" s="118"/>
      <c r="L318" s="119"/>
      <c r="M318" s="118"/>
      <c r="N318" s="119"/>
      <c r="O318" s="118"/>
      <c r="P318" s="120"/>
    </row>
    <row r="319" spans="6:16" ht="15.75" customHeight="1">
      <c r="F319" s="115"/>
      <c r="G319" s="116"/>
      <c r="H319" s="116"/>
      <c r="I319" s="8"/>
      <c r="J319" s="117"/>
      <c r="K319" s="118"/>
      <c r="L319" s="119"/>
      <c r="M319" s="118"/>
      <c r="N319" s="119"/>
      <c r="O319" s="118"/>
      <c r="P319" s="120"/>
    </row>
    <row r="320" spans="6:16" ht="15.75" customHeight="1">
      <c r="F320" s="115"/>
      <c r="G320" s="116"/>
      <c r="H320" s="116"/>
      <c r="I320" s="8"/>
      <c r="J320" s="117"/>
      <c r="K320" s="118"/>
      <c r="L320" s="119"/>
      <c r="M320" s="118"/>
      <c r="N320" s="119"/>
      <c r="O320" s="118"/>
      <c r="P320" s="120"/>
    </row>
    <row r="321" spans="6:16" ht="15.75" customHeight="1">
      <c r="F321" s="115"/>
      <c r="G321" s="116"/>
      <c r="H321" s="116"/>
      <c r="I321" s="8"/>
      <c r="J321" s="117"/>
      <c r="K321" s="118"/>
      <c r="L321" s="119"/>
      <c r="M321" s="118"/>
      <c r="N321" s="119"/>
      <c r="O321" s="118"/>
      <c r="P321" s="120"/>
    </row>
    <row r="322" spans="6:16" ht="15.75" customHeight="1">
      <c r="F322" s="115"/>
      <c r="G322" s="116"/>
      <c r="H322" s="116"/>
      <c r="I322" s="8"/>
      <c r="J322" s="117"/>
      <c r="K322" s="118"/>
      <c r="L322" s="119"/>
      <c r="M322" s="118"/>
      <c r="N322" s="119"/>
      <c r="O322" s="118"/>
      <c r="P322" s="120"/>
    </row>
    <row r="323" spans="6:16" ht="15.75" customHeight="1">
      <c r="F323" s="115"/>
      <c r="G323" s="116"/>
      <c r="H323" s="116"/>
      <c r="I323" s="8"/>
      <c r="J323" s="117"/>
      <c r="K323" s="118"/>
      <c r="L323" s="119"/>
      <c r="M323" s="118"/>
      <c r="N323" s="119"/>
      <c r="O323" s="118"/>
      <c r="P323" s="120"/>
    </row>
    <row r="324" spans="6:16" ht="15.75" customHeight="1">
      <c r="F324" s="115"/>
      <c r="G324" s="116"/>
      <c r="H324" s="116"/>
      <c r="I324" s="8"/>
      <c r="J324" s="117"/>
      <c r="K324" s="118"/>
      <c r="L324" s="119"/>
      <c r="M324" s="118"/>
      <c r="N324" s="119"/>
      <c r="O324" s="118"/>
      <c r="P324" s="120"/>
    </row>
    <row r="325" spans="6:16" ht="15.75" customHeight="1">
      <c r="F325" s="115"/>
      <c r="G325" s="116"/>
      <c r="H325" s="116"/>
      <c r="I325" s="8"/>
      <c r="J325" s="117"/>
      <c r="K325" s="118"/>
      <c r="L325" s="119"/>
      <c r="M325" s="118"/>
      <c r="N325" s="119"/>
      <c r="O325" s="118"/>
      <c r="P325" s="120"/>
    </row>
    <row r="326" spans="6:16" ht="15.75" customHeight="1">
      <c r="F326" s="115"/>
      <c r="G326" s="116"/>
      <c r="H326" s="116"/>
      <c r="I326" s="8"/>
      <c r="J326" s="117"/>
      <c r="K326" s="118"/>
      <c r="L326" s="119"/>
      <c r="M326" s="118"/>
      <c r="N326" s="119"/>
      <c r="O326" s="118"/>
      <c r="P326" s="120"/>
    </row>
    <row r="327" spans="6:16" ht="15.75" customHeight="1">
      <c r="F327" s="115"/>
      <c r="G327" s="116"/>
      <c r="H327" s="116"/>
      <c r="I327" s="8"/>
      <c r="J327" s="117"/>
      <c r="K327" s="118"/>
      <c r="L327" s="119"/>
      <c r="M327" s="118"/>
      <c r="N327" s="119"/>
      <c r="O327" s="118"/>
      <c r="P327" s="120"/>
    </row>
    <row r="328" spans="6:16" ht="15.75" customHeight="1">
      <c r="F328" s="115"/>
      <c r="G328" s="116"/>
      <c r="H328" s="116"/>
      <c r="I328" s="8"/>
      <c r="J328" s="117"/>
      <c r="K328" s="118"/>
      <c r="L328" s="119"/>
      <c r="M328" s="118"/>
      <c r="N328" s="119"/>
      <c r="O328" s="118"/>
      <c r="P328" s="120"/>
    </row>
    <row r="329" spans="6:16" ht="15.75" customHeight="1">
      <c r="F329" s="115"/>
      <c r="G329" s="116"/>
      <c r="H329" s="116"/>
      <c r="I329" s="8"/>
      <c r="J329" s="117"/>
      <c r="K329" s="118"/>
      <c r="L329" s="119"/>
      <c r="M329" s="118"/>
      <c r="N329" s="119"/>
      <c r="O329" s="118"/>
      <c r="P329" s="120"/>
    </row>
    <row r="330" spans="6:16" ht="15.75" customHeight="1">
      <c r="F330" s="115"/>
      <c r="G330" s="116"/>
      <c r="H330" s="116"/>
      <c r="I330" s="8"/>
      <c r="J330" s="117"/>
      <c r="K330" s="118"/>
      <c r="L330" s="119"/>
      <c r="M330" s="118"/>
      <c r="N330" s="119"/>
      <c r="O330" s="118"/>
      <c r="P330" s="120"/>
    </row>
    <row r="331" spans="6:16" ht="15.75" customHeight="1">
      <c r="F331" s="115"/>
      <c r="G331" s="116"/>
      <c r="H331" s="116"/>
      <c r="I331" s="8"/>
      <c r="J331" s="117"/>
      <c r="K331" s="118"/>
      <c r="L331" s="119"/>
      <c r="M331" s="118"/>
      <c r="N331" s="119"/>
      <c r="O331" s="118"/>
      <c r="P331" s="120"/>
    </row>
    <row r="332" spans="6:16" ht="15.75" customHeight="1">
      <c r="F332" s="115"/>
      <c r="G332" s="116"/>
      <c r="H332" s="116"/>
      <c r="I332" s="8"/>
      <c r="J332" s="117"/>
      <c r="K332" s="118"/>
      <c r="L332" s="119"/>
      <c r="M332" s="118"/>
      <c r="N332" s="119"/>
      <c r="O332" s="118"/>
      <c r="P332" s="120"/>
    </row>
    <row r="333" spans="6:16" ht="15.75" customHeight="1">
      <c r="F333" s="115"/>
      <c r="G333" s="116"/>
      <c r="H333" s="116"/>
      <c r="I333" s="8"/>
      <c r="J333" s="117"/>
      <c r="K333" s="118"/>
      <c r="L333" s="119"/>
      <c r="M333" s="118"/>
      <c r="N333" s="119"/>
      <c r="O333" s="118"/>
      <c r="P333" s="120"/>
    </row>
    <row r="334" spans="6:16" ht="15.75" customHeight="1">
      <c r="F334" s="115"/>
      <c r="G334" s="116"/>
      <c r="H334" s="116"/>
      <c r="I334" s="8"/>
      <c r="J334" s="117"/>
      <c r="K334" s="118"/>
      <c r="L334" s="119"/>
      <c r="M334" s="118"/>
      <c r="N334" s="119"/>
      <c r="O334" s="118"/>
      <c r="P334" s="120"/>
    </row>
    <row r="335" spans="6:16" ht="15.75" customHeight="1">
      <c r="F335" s="115"/>
      <c r="G335" s="116"/>
      <c r="H335" s="116"/>
      <c r="I335" s="8"/>
      <c r="J335" s="117"/>
      <c r="K335" s="118"/>
      <c r="L335" s="119"/>
      <c r="M335" s="118"/>
      <c r="N335" s="119"/>
      <c r="O335" s="118"/>
      <c r="P335" s="120"/>
    </row>
    <row r="336" spans="6:16" ht="15.75" customHeight="1">
      <c r="F336" s="115"/>
      <c r="G336" s="116"/>
      <c r="H336" s="116"/>
      <c r="I336" s="8"/>
      <c r="J336" s="117"/>
      <c r="K336" s="118"/>
      <c r="L336" s="119"/>
      <c r="M336" s="118"/>
      <c r="N336" s="119"/>
      <c r="O336" s="118"/>
      <c r="P336" s="120"/>
    </row>
    <row r="337" spans="6:16" ht="15.75" customHeight="1">
      <c r="F337" s="115"/>
      <c r="G337" s="116"/>
      <c r="H337" s="116"/>
      <c r="I337" s="8"/>
      <c r="J337" s="117"/>
      <c r="K337" s="118"/>
      <c r="L337" s="119"/>
      <c r="M337" s="118"/>
      <c r="N337" s="119"/>
      <c r="O337" s="118"/>
      <c r="P337" s="120"/>
    </row>
    <row r="338" spans="6:16" ht="15.75" customHeight="1">
      <c r="F338" s="115"/>
      <c r="G338" s="116"/>
      <c r="H338" s="116"/>
      <c r="I338" s="8"/>
      <c r="J338" s="117"/>
      <c r="K338" s="118"/>
      <c r="L338" s="119"/>
      <c r="M338" s="118"/>
      <c r="N338" s="119"/>
      <c r="O338" s="118"/>
      <c r="P338" s="120"/>
    </row>
    <row r="339" spans="6:16" ht="15.75" customHeight="1">
      <c r="F339" s="115"/>
      <c r="G339" s="116"/>
      <c r="H339" s="116"/>
      <c r="I339" s="8"/>
      <c r="J339" s="117"/>
      <c r="K339" s="118"/>
      <c r="L339" s="119"/>
      <c r="M339" s="118"/>
      <c r="N339" s="119"/>
      <c r="O339" s="118"/>
      <c r="P339" s="120"/>
    </row>
    <row r="340" spans="6:16" s="102" customFormat="1" ht="15.75" customHeight="1" thickBot="1">
      <c r="F340" s="178"/>
      <c r="G340" s="179"/>
      <c r="H340" s="179"/>
      <c r="I340" s="180"/>
      <c r="J340" s="181"/>
      <c r="K340" s="182"/>
      <c r="L340" s="183"/>
      <c r="M340" s="182"/>
      <c r="N340" s="183"/>
      <c r="O340" s="182"/>
      <c r="P340" s="124"/>
    </row>
    <row r="341" ht="15.75" thickTop="1">
      <c r="I341" s="31"/>
    </row>
    <row r="342" ht="16.5" customHeight="1">
      <c r="I342" s="31"/>
    </row>
    <row r="343" ht="15">
      <c r="I343" s="31"/>
    </row>
    <row r="344" ht="15">
      <c r="I344" s="31"/>
    </row>
    <row r="345" ht="15">
      <c r="I345" s="31"/>
    </row>
  </sheetData>
  <printOptions horizontalCentered="1"/>
  <pageMargins left="0" right="0" top="0.4" bottom="0.25" header="0" footer="0"/>
  <pageSetup fitToHeight="4" horizontalDpi="300" verticalDpi="300" orientation="portrait" scale="49" r:id="rId1"/>
  <rowBreaks count="4" manualBreakCount="4">
    <brk id="84" max="16" man="1"/>
    <brk id="170" max="16" man="1"/>
    <brk id="256" max="16" man="1"/>
    <brk id="34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78"/>
  <sheetViews>
    <sheetView showGridLines="0" view="pageBreakPreview" zoomScale="87" zoomScaleNormal="75" zoomScaleSheetLayoutView="87" workbookViewId="0" topLeftCell="A61">
      <selection activeCell="A75" sqref="A75:IV75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ht="16.5" customHeight="1">
      <c r="A1" s="7">
        <v>6</v>
      </c>
      <c r="B1" s="2" t="str">
        <f>(Marketable!B85)</f>
        <v>TABLE III - DETAIL OF TREASURY SECURITIES OUTSTANDING, MARCH 31, 2002 -- Continued</v>
      </c>
      <c r="C1" s="2"/>
      <c r="D1" s="2"/>
      <c r="E1" s="3"/>
      <c r="F1" s="3"/>
      <c r="G1" s="3"/>
      <c r="H1" s="3"/>
      <c r="I1" s="29"/>
      <c r="J1" s="3"/>
      <c r="K1" s="3"/>
      <c r="L1" s="3"/>
      <c r="M1" s="3"/>
      <c r="N1" s="3"/>
      <c r="O1" s="3"/>
      <c r="P1" s="2"/>
    </row>
    <row r="2" spans="1:16" ht="10.5" customHeight="1" thickBot="1">
      <c r="A2" s="7"/>
      <c r="B2" s="7"/>
      <c r="C2" s="7"/>
      <c r="D2" s="2"/>
      <c r="E2" s="3"/>
      <c r="F2" s="3"/>
      <c r="G2" s="3"/>
      <c r="H2" s="3"/>
      <c r="I2" s="29"/>
      <c r="J2" s="3"/>
      <c r="K2" s="3"/>
      <c r="L2" s="3"/>
      <c r="M2" s="3"/>
      <c r="N2" s="3"/>
      <c r="O2" s="3"/>
      <c r="P2" s="2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26"/>
      <c r="K3" s="26"/>
      <c r="L3" s="32"/>
      <c r="M3" s="32"/>
      <c r="N3" s="32"/>
      <c r="O3" s="32"/>
      <c r="P3" s="32"/>
    </row>
    <row r="4" spans="7:16" ht="15.75" customHeight="1">
      <c r="G4" s="16" t="s">
        <v>587</v>
      </c>
      <c r="H4" s="16" t="s">
        <v>588</v>
      </c>
      <c r="I4" s="29"/>
      <c r="J4" s="34" t="s">
        <v>589</v>
      </c>
      <c r="K4" s="16" t="s">
        <v>590</v>
      </c>
      <c r="L4" s="3"/>
      <c r="M4" s="3"/>
      <c r="N4" s="3"/>
      <c r="O4" s="3"/>
      <c r="P4" s="3"/>
    </row>
    <row r="5" spans="1:11" ht="15.75" customHeight="1">
      <c r="A5" s="3" t="s">
        <v>591</v>
      </c>
      <c r="B5" s="3"/>
      <c r="C5" s="3"/>
      <c r="D5" s="3"/>
      <c r="E5" s="3"/>
      <c r="F5" s="3"/>
      <c r="G5" s="16" t="s">
        <v>592</v>
      </c>
      <c r="H5" s="16" t="s">
        <v>593</v>
      </c>
      <c r="I5" s="29"/>
      <c r="J5" s="34" t="s">
        <v>594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35"/>
      <c r="K6" s="37" t="s">
        <v>595</v>
      </c>
      <c r="L6" s="171"/>
      <c r="M6" s="37" t="s">
        <v>596</v>
      </c>
      <c r="N6" s="38"/>
      <c r="O6" s="37" t="s">
        <v>563</v>
      </c>
      <c r="P6" s="38"/>
    </row>
    <row r="7" spans="1:16" ht="15.75" customHeight="1">
      <c r="A7" s="63"/>
      <c r="B7" s="63"/>
      <c r="C7" s="63"/>
      <c r="D7" s="63"/>
      <c r="E7" s="63"/>
      <c r="F7" s="63"/>
      <c r="G7" s="14"/>
      <c r="H7" s="14"/>
      <c r="I7" s="98"/>
      <c r="J7" s="14"/>
      <c r="K7" s="16"/>
      <c r="L7" s="13"/>
      <c r="M7" s="16"/>
      <c r="N7" s="99"/>
      <c r="O7" s="16"/>
      <c r="P7" s="99"/>
    </row>
    <row r="8" spans="1:20" ht="18">
      <c r="A8" s="23" t="s">
        <v>568</v>
      </c>
      <c r="B8" s="22"/>
      <c r="C8" s="22"/>
      <c r="D8" s="22"/>
      <c r="E8" s="7"/>
      <c r="F8" s="7"/>
      <c r="G8" s="14"/>
      <c r="H8" s="14"/>
      <c r="J8" s="14"/>
      <c r="K8" s="14"/>
      <c r="L8" s="25"/>
      <c r="M8" s="14"/>
      <c r="O8" s="14"/>
      <c r="T8" s="17"/>
    </row>
    <row r="9" spans="2:15" ht="21" customHeight="1">
      <c r="B9" s="9" t="s">
        <v>704</v>
      </c>
      <c r="G9" s="14"/>
      <c r="H9" s="14"/>
      <c r="J9" s="14"/>
      <c r="K9" s="14"/>
      <c r="L9" s="25"/>
      <c r="M9" s="14"/>
      <c r="O9" s="14"/>
    </row>
    <row r="10" spans="2:15" ht="16.5" customHeight="1">
      <c r="B10" s="9"/>
      <c r="C10" s="9" t="s">
        <v>782</v>
      </c>
      <c r="G10" s="14"/>
      <c r="H10" s="14"/>
      <c r="J10" s="14"/>
      <c r="K10" s="14"/>
      <c r="L10" s="25"/>
      <c r="M10" s="14"/>
      <c r="O10" s="69"/>
    </row>
    <row r="11" spans="3:16" ht="16.5" customHeight="1">
      <c r="C11" s="9" t="s">
        <v>783</v>
      </c>
      <c r="F11" s="159">
        <v>10</v>
      </c>
      <c r="G11" s="92" t="s">
        <v>784</v>
      </c>
      <c r="H11" s="93" t="s">
        <v>784</v>
      </c>
      <c r="I11" s="3"/>
      <c r="J11" s="92" t="s">
        <v>784</v>
      </c>
      <c r="K11" s="40">
        <v>509.794</v>
      </c>
      <c r="L11" s="25"/>
      <c r="M11" s="51">
        <v>-509.685</v>
      </c>
      <c r="N11" s="25"/>
      <c r="O11" s="51" t="s">
        <v>788</v>
      </c>
      <c r="P11" s="21"/>
    </row>
    <row r="12" spans="3:16" ht="16.5" customHeight="1">
      <c r="C12" s="9" t="s">
        <v>705</v>
      </c>
      <c r="G12" s="92">
        <v>32808</v>
      </c>
      <c r="H12" s="93">
        <v>43753</v>
      </c>
      <c r="I12" s="3"/>
      <c r="J12" s="92">
        <v>43753</v>
      </c>
      <c r="K12" s="40">
        <v>4522.068</v>
      </c>
      <c r="L12" s="25"/>
      <c r="M12" s="47" t="s">
        <v>601</v>
      </c>
      <c r="N12" s="172"/>
      <c r="O12" s="40">
        <f aca="true" t="shared" si="0" ref="O12:O19">K12+M12</f>
        <v>4522.068</v>
      </c>
      <c r="P12" s="21"/>
    </row>
    <row r="13" spans="3:16" ht="16.5" customHeight="1">
      <c r="C13" s="9" t="s">
        <v>705</v>
      </c>
      <c r="G13" s="92">
        <v>33070</v>
      </c>
      <c r="H13" s="93">
        <v>44027</v>
      </c>
      <c r="I13" s="3"/>
      <c r="J13" s="92">
        <v>44027</v>
      </c>
      <c r="K13" s="40">
        <v>5026.13</v>
      </c>
      <c r="L13" s="20"/>
      <c r="M13" s="47" t="s">
        <v>601</v>
      </c>
      <c r="N13" s="27"/>
      <c r="O13" s="40">
        <f t="shared" si="0"/>
        <v>5026.13</v>
      </c>
      <c r="P13" s="21"/>
    </row>
    <row r="14" spans="3:16" ht="16.5" customHeight="1">
      <c r="C14" s="9" t="s">
        <v>706</v>
      </c>
      <c r="G14" s="92">
        <v>33151</v>
      </c>
      <c r="H14" s="93">
        <v>44119</v>
      </c>
      <c r="I14" s="3"/>
      <c r="J14" s="92">
        <v>44119</v>
      </c>
      <c r="K14" s="40">
        <v>2.75</v>
      </c>
      <c r="L14" s="20"/>
      <c r="M14" s="47" t="s">
        <v>601</v>
      </c>
      <c r="N14" s="27"/>
      <c r="O14" s="40">
        <f t="shared" si="0"/>
        <v>2.75</v>
      </c>
      <c r="P14" s="21"/>
    </row>
    <row r="15" spans="3:16" ht="16.5" customHeight="1">
      <c r="C15" s="9" t="s">
        <v>707</v>
      </c>
      <c r="G15" s="92">
        <v>33151</v>
      </c>
      <c r="H15" s="93">
        <v>44119</v>
      </c>
      <c r="I15" s="3"/>
      <c r="J15" s="92">
        <v>44119</v>
      </c>
      <c r="K15" s="40">
        <v>5000</v>
      </c>
      <c r="L15" s="20"/>
      <c r="M15" s="47" t="s">
        <v>601</v>
      </c>
      <c r="N15" s="27"/>
      <c r="O15" s="40">
        <f>K15+M15</f>
        <v>5000</v>
      </c>
      <c r="P15" s="21"/>
    </row>
    <row r="16" spans="3:16" ht="16.5" customHeight="1">
      <c r="C16" s="9" t="s">
        <v>705</v>
      </c>
      <c r="G16" s="92">
        <v>33252</v>
      </c>
      <c r="H16" s="93">
        <v>44211</v>
      </c>
      <c r="I16" s="3"/>
      <c r="J16" s="92">
        <v>44211</v>
      </c>
      <c r="K16" s="40">
        <v>4940.921</v>
      </c>
      <c r="L16" s="20"/>
      <c r="M16" s="47" t="s">
        <v>601</v>
      </c>
      <c r="N16" s="27"/>
      <c r="O16" s="40">
        <f t="shared" si="0"/>
        <v>4940.921</v>
      </c>
      <c r="P16" s="21"/>
    </row>
    <row r="17" spans="3:16" ht="16.5" customHeight="1">
      <c r="C17" s="9" t="s">
        <v>705</v>
      </c>
      <c r="G17" s="92">
        <v>32902</v>
      </c>
      <c r="H17" s="93">
        <v>47498</v>
      </c>
      <c r="I17" s="3"/>
      <c r="J17" s="92">
        <v>47498</v>
      </c>
      <c r="K17" s="40">
        <v>5002.232</v>
      </c>
      <c r="L17" s="20"/>
      <c r="M17" s="47" t="s">
        <v>601</v>
      </c>
      <c r="N17" s="27"/>
      <c r="O17" s="40">
        <f t="shared" si="0"/>
        <v>5002.232</v>
      </c>
      <c r="P17" s="21"/>
    </row>
    <row r="18" spans="3:16" ht="16.5" customHeight="1">
      <c r="C18" s="9" t="s">
        <v>705</v>
      </c>
      <c r="G18" s="92">
        <v>32979</v>
      </c>
      <c r="H18" s="93">
        <v>47588</v>
      </c>
      <c r="I18" s="3"/>
      <c r="J18" s="92">
        <v>47588</v>
      </c>
      <c r="K18" s="40">
        <v>3501.265</v>
      </c>
      <c r="L18" s="20"/>
      <c r="M18" s="47" t="s">
        <v>601</v>
      </c>
      <c r="N18" s="27"/>
      <c r="O18" s="40">
        <f t="shared" si="0"/>
        <v>3501.265</v>
      </c>
      <c r="P18" s="21"/>
    </row>
    <row r="19" spans="3:16" ht="16.5" customHeight="1">
      <c r="C19" s="9" t="s">
        <v>705</v>
      </c>
      <c r="G19" s="92">
        <v>33252</v>
      </c>
      <c r="H19" s="93">
        <v>47588</v>
      </c>
      <c r="I19" s="3"/>
      <c r="J19" s="92">
        <v>47588</v>
      </c>
      <c r="K19" s="40">
        <v>1999.814</v>
      </c>
      <c r="L19" s="20"/>
      <c r="M19" s="47" t="s">
        <v>601</v>
      </c>
      <c r="N19" s="27"/>
      <c r="O19" s="40">
        <f t="shared" si="0"/>
        <v>1999.814</v>
      </c>
      <c r="P19" s="21"/>
    </row>
    <row r="20" spans="2:16" ht="21" customHeight="1" thickBot="1">
      <c r="B20" s="241" t="s">
        <v>713</v>
      </c>
      <c r="G20" s="34" t="s">
        <v>602</v>
      </c>
      <c r="H20" s="16" t="s">
        <v>602</v>
      </c>
      <c r="I20" s="3"/>
      <c r="J20" s="34" t="s">
        <v>602</v>
      </c>
      <c r="K20" s="235">
        <f>SUM(K11:K19)</f>
        <v>30504.974</v>
      </c>
      <c r="L20" s="254"/>
      <c r="M20" s="235">
        <f>SUM(M11:M19)</f>
        <v>-509.685</v>
      </c>
      <c r="N20" s="255"/>
      <c r="O20" s="235">
        <f>SUM(O11:O19)</f>
        <v>29995.179999999997</v>
      </c>
      <c r="P20" s="256"/>
    </row>
    <row r="21" spans="7:15" ht="15.75" customHeight="1" thickTop="1">
      <c r="G21" s="14"/>
      <c r="H21" s="14"/>
      <c r="I21" s="31"/>
      <c r="J21" s="14"/>
      <c r="K21" s="14"/>
      <c r="L21" s="25"/>
      <c r="M21" s="14"/>
      <c r="O21" s="14"/>
    </row>
    <row r="22" spans="2:15" ht="21" customHeight="1">
      <c r="B22" s="9" t="s">
        <v>714</v>
      </c>
      <c r="E22" s="19"/>
      <c r="F22" s="159"/>
      <c r="G22" s="14"/>
      <c r="H22" s="14"/>
      <c r="J22" s="14"/>
      <c r="K22" s="14"/>
      <c r="L22" s="25"/>
      <c r="M22" s="170"/>
      <c r="O22" s="14"/>
    </row>
    <row r="23" spans="3:16" ht="16.5" customHeight="1">
      <c r="C23" s="134" t="s">
        <v>53</v>
      </c>
      <c r="G23" s="52">
        <v>37278</v>
      </c>
      <c r="H23" s="93">
        <v>37347</v>
      </c>
      <c r="I23" s="3"/>
      <c r="J23" s="92">
        <v>37347</v>
      </c>
      <c r="K23" s="40">
        <v>200</v>
      </c>
      <c r="L23" s="21"/>
      <c r="M23" s="47" t="s">
        <v>601</v>
      </c>
      <c r="N23" s="27"/>
      <c r="O23" s="40">
        <f aca="true" t="shared" si="1" ref="O23:O33">K23+M23</f>
        <v>200</v>
      </c>
      <c r="P23" s="41"/>
    </row>
    <row r="24" spans="3:16" ht="16.5" customHeight="1">
      <c r="C24" s="134" t="s">
        <v>51</v>
      </c>
      <c r="G24" s="52">
        <v>37274</v>
      </c>
      <c r="H24" s="93">
        <v>37377</v>
      </c>
      <c r="I24" s="3"/>
      <c r="J24" s="92">
        <v>37377</v>
      </c>
      <c r="K24" s="40">
        <v>200</v>
      </c>
      <c r="L24" s="21"/>
      <c r="M24" s="47" t="s">
        <v>601</v>
      </c>
      <c r="N24" s="27"/>
      <c r="O24" s="40">
        <f t="shared" si="1"/>
        <v>200</v>
      </c>
      <c r="P24" s="41"/>
    </row>
    <row r="25" spans="3:16" ht="16.5" customHeight="1">
      <c r="C25" s="134" t="s">
        <v>54</v>
      </c>
      <c r="G25" s="52">
        <v>37278</v>
      </c>
      <c r="H25" s="93">
        <v>37392</v>
      </c>
      <c r="I25" s="3"/>
      <c r="J25" s="92">
        <v>37392</v>
      </c>
      <c r="K25" s="40">
        <v>200</v>
      </c>
      <c r="L25" s="21"/>
      <c r="M25" s="47" t="s">
        <v>601</v>
      </c>
      <c r="N25" s="27"/>
      <c r="O25" s="40">
        <f t="shared" si="1"/>
        <v>200</v>
      </c>
      <c r="P25" s="41"/>
    </row>
    <row r="26" spans="3:16" ht="16.5" customHeight="1">
      <c r="C26" s="134" t="s">
        <v>55</v>
      </c>
      <c r="G26" s="52">
        <v>37278</v>
      </c>
      <c r="H26" s="93">
        <v>37413</v>
      </c>
      <c r="I26" s="3"/>
      <c r="J26" s="92">
        <v>37413</v>
      </c>
      <c r="K26" s="40">
        <v>200</v>
      </c>
      <c r="L26" s="21"/>
      <c r="M26" s="47" t="s">
        <v>601</v>
      </c>
      <c r="N26" s="27"/>
      <c r="O26" s="40">
        <f t="shared" si="1"/>
        <v>200</v>
      </c>
      <c r="P26" s="41"/>
    </row>
    <row r="27" spans="3:16" ht="16.5" customHeight="1">
      <c r="C27" s="134" t="s">
        <v>52</v>
      </c>
      <c r="G27" s="52">
        <v>37274</v>
      </c>
      <c r="H27" s="93">
        <v>37438</v>
      </c>
      <c r="I27" s="3"/>
      <c r="J27" s="92">
        <v>37438</v>
      </c>
      <c r="K27" s="40">
        <v>200</v>
      </c>
      <c r="L27" s="21"/>
      <c r="M27" s="47" t="s">
        <v>601</v>
      </c>
      <c r="N27" s="27"/>
      <c r="O27" s="40">
        <f t="shared" si="1"/>
        <v>200</v>
      </c>
      <c r="P27" s="41"/>
    </row>
    <row r="28" spans="3:16" ht="16.5" customHeight="1">
      <c r="C28" s="134" t="s">
        <v>56</v>
      </c>
      <c r="G28" s="52">
        <v>37278</v>
      </c>
      <c r="H28" s="93">
        <v>37442</v>
      </c>
      <c r="I28" s="3"/>
      <c r="J28" s="92">
        <v>37442</v>
      </c>
      <c r="K28" s="40">
        <v>200</v>
      </c>
      <c r="L28" s="21"/>
      <c r="M28" s="47" t="s">
        <v>601</v>
      </c>
      <c r="N28" s="27"/>
      <c r="O28" s="40">
        <f t="shared" si="1"/>
        <v>200</v>
      </c>
      <c r="P28" s="41"/>
    </row>
    <row r="29" spans="3:16" ht="16.5" customHeight="1">
      <c r="C29" s="134" t="s">
        <v>47</v>
      </c>
      <c r="G29" s="52">
        <v>37266</v>
      </c>
      <c r="H29" s="93">
        <v>37448</v>
      </c>
      <c r="I29" s="3"/>
      <c r="J29" s="92">
        <v>37448</v>
      </c>
      <c r="K29" s="40">
        <v>100</v>
      </c>
      <c r="L29" s="21"/>
      <c r="M29" s="47" t="s">
        <v>601</v>
      </c>
      <c r="N29" s="27"/>
      <c r="O29" s="40">
        <f t="shared" si="1"/>
        <v>100</v>
      </c>
      <c r="P29" s="41"/>
    </row>
    <row r="30" spans="3:16" ht="16.5" customHeight="1">
      <c r="C30" s="134" t="s">
        <v>115</v>
      </c>
      <c r="G30" s="52">
        <v>37316</v>
      </c>
      <c r="H30" s="93">
        <v>37497</v>
      </c>
      <c r="I30" s="3"/>
      <c r="J30" s="92">
        <v>37497</v>
      </c>
      <c r="K30" s="40">
        <v>200</v>
      </c>
      <c r="L30" s="21"/>
      <c r="M30" s="47" t="s">
        <v>601</v>
      </c>
      <c r="N30" s="27"/>
      <c r="O30" s="40">
        <f>K30+M30</f>
        <v>200</v>
      </c>
      <c r="P30" s="41"/>
    </row>
    <row r="31" spans="3:16" ht="16.5" customHeight="1">
      <c r="C31" s="9" t="s">
        <v>716</v>
      </c>
      <c r="F31" s="159">
        <v>10</v>
      </c>
      <c r="G31" s="92">
        <v>32960</v>
      </c>
      <c r="H31" s="93">
        <v>43830</v>
      </c>
      <c r="I31" s="3"/>
      <c r="J31" s="92">
        <v>43830</v>
      </c>
      <c r="K31" s="40">
        <v>30220.229</v>
      </c>
      <c r="L31" s="21"/>
      <c r="M31" s="51">
        <v>-22923.338</v>
      </c>
      <c r="N31" s="21"/>
      <c r="O31" s="40">
        <f t="shared" si="1"/>
        <v>7296.891</v>
      </c>
      <c r="P31" s="21"/>
    </row>
    <row r="32" spans="3:16" ht="16.5" customHeight="1">
      <c r="C32" s="9" t="s">
        <v>717</v>
      </c>
      <c r="F32" s="159">
        <v>10</v>
      </c>
      <c r="G32" s="92">
        <v>33225</v>
      </c>
      <c r="H32" s="93">
        <v>43921</v>
      </c>
      <c r="I32" s="3"/>
      <c r="J32" s="92">
        <v>43921</v>
      </c>
      <c r="K32" s="40">
        <v>7258.01</v>
      </c>
      <c r="L32" s="21"/>
      <c r="M32" s="51">
        <v>-4536.703</v>
      </c>
      <c r="N32" s="21"/>
      <c r="O32" s="40">
        <f t="shared" si="1"/>
        <v>2721.307</v>
      </c>
      <c r="P32" s="21"/>
    </row>
    <row r="33" spans="3:16" ht="16.5" customHeight="1">
      <c r="C33" s="9" t="s">
        <v>719</v>
      </c>
      <c r="F33" s="159">
        <v>10</v>
      </c>
      <c r="G33" s="92">
        <v>34066</v>
      </c>
      <c r="H33" s="93">
        <v>45016</v>
      </c>
      <c r="I33" s="3"/>
      <c r="J33" s="92">
        <v>45016</v>
      </c>
      <c r="K33" s="40">
        <v>6685</v>
      </c>
      <c r="L33" s="21"/>
      <c r="M33" s="51">
        <v>-3624.942</v>
      </c>
      <c r="N33" s="196"/>
      <c r="O33" s="40">
        <f t="shared" si="1"/>
        <v>3060.058</v>
      </c>
      <c r="P33" s="21"/>
    </row>
    <row r="34" spans="2:16" ht="20.25" customHeight="1" thickBot="1">
      <c r="B34" s="241" t="s">
        <v>720</v>
      </c>
      <c r="G34" s="34" t="s">
        <v>602</v>
      </c>
      <c r="H34" s="16" t="s">
        <v>602</v>
      </c>
      <c r="I34" s="3"/>
      <c r="J34" s="34" t="s">
        <v>602</v>
      </c>
      <c r="K34" s="235">
        <f>SUM(K23:K33)</f>
        <v>45663.239</v>
      </c>
      <c r="L34" s="236"/>
      <c r="M34" s="253">
        <f>SUM(M23:M33)</f>
        <v>-31084.983</v>
      </c>
      <c r="N34" s="236"/>
      <c r="O34" s="235">
        <f>SUM(O23:O33)</f>
        <v>14578.256000000001</v>
      </c>
      <c r="P34" s="236"/>
    </row>
    <row r="35" spans="7:15" ht="15.75" customHeight="1" thickTop="1">
      <c r="G35" s="14"/>
      <c r="H35" s="14"/>
      <c r="J35" s="14"/>
      <c r="K35" s="14"/>
      <c r="M35" s="14"/>
      <c r="O35" s="14"/>
    </row>
    <row r="36" spans="2:15" ht="21" customHeight="1">
      <c r="B36" s="9" t="s">
        <v>721</v>
      </c>
      <c r="G36" s="14"/>
      <c r="H36" s="14"/>
      <c r="J36" s="14"/>
      <c r="K36" s="14"/>
      <c r="M36" s="14"/>
      <c r="O36" s="14"/>
    </row>
    <row r="37" spans="3:15" ht="16.5" customHeight="1">
      <c r="C37" s="9" t="s">
        <v>722</v>
      </c>
      <c r="G37" s="14"/>
      <c r="H37" s="14"/>
      <c r="J37" s="14"/>
      <c r="K37" s="40"/>
      <c r="M37" s="40" t="s">
        <v>560</v>
      </c>
      <c r="O37" s="40"/>
    </row>
    <row r="38" spans="3:15" ht="16.5" customHeight="1">
      <c r="C38" s="9" t="s">
        <v>723</v>
      </c>
      <c r="G38" s="34" t="s">
        <v>702</v>
      </c>
      <c r="H38" s="16" t="s">
        <v>602</v>
      </c>
      <c r="I38" s="3"/>
      <c r="J38" s="34" t="s">
        <v>724</v>
      </c>
      <c r="K38" s="40">
        <v>50.745</v>
      </c>
      <c r="M38" s="51">
        <v>-49.692</v>
      </c>
      <c r="N38" s="43"/>
      <c r="O38" s="53">
        <f>(K38+M38)</f>
        <v>1.0529999999999973</v>
      </c>
    </row>
    <row r="39" spans="2:16" ht="20.25" customHeight="1" thickBot="1">
      <c r="B39" s="241" t="s">
        <v>725</v>
      </c>
      <c r="G39" s="34" t="s">
        <v>602</v>
      </c>
      <c r="H39" s="16" t="s">
        <v>602</v>
      </c>
      <c r="I39" s="3"/>
      <c r="J39" s="34" t="s">
        <v>602</v>
      </c>
      <c r="K39" s="235">
        <f>K38</f>
        <v>50.745</v>
      </c>
      <c r="L39" s="252"/>
      <c r="M39" s="235">
        <f>M38</f>
        <v>-49.692</v>
      </c>
      <c r="N39" s="252"/>
      <c r="O39" s="257">
        <f>(K39+M39)</f>
        <v>1.0529999999999973</v>
      </c>
      <c r="P39" s="252"/>
    </row>
    <row r="40" spans="7:15" ht="15.75" customHeight="1" thickTop="1">
      <c r="G40" s="14"/>
      <c r="H40" s="14"/>
      <c r="J40" s="14"/>
      <c r="K40" s="40"/>
      <c r="M40" s="40"/>
      <c r="O40" s="40"/>
    </row>
    <row r="41" spans="2:15" ht="21" customHeight="1">
      <c r="B41" s="9" t="s">
        <v>726</v>
      </c>
      <c r="G41" s="14"/>
      <c r="H41" s="14"/>
      <c r="J41" s="14"/>
      <c r="K41" s="14"/>
      <c r="M41" s="14"/>
      <c r="O41" s="14"/>
    </row>
    <row r="42" spans="3:15" ht="16.5" customHeight="1">
      <c r="C42" s="9" t="s">
        <v>727</v>
      </c>
      <c r="G42" s="14"/>
      <c r="H42" s="14"/>
      <c r="J42" s="14"/>
      <c r="K42" s="40"/>
      <c r="M42" s="40"/>
      <c r="O42" s="40"/>
    </row>
    <row r="43" spans="3:15" ht="16.5" customHeight="1">
      <c r="C43" s="9" t="s">
        <v>728</v>
      </c>
      <c r="G43" s="34" t="s">
        <v>702</v>
      </c>
      <c r="H43" s="16" t="s">
        <v>602</v>
      </c>
      <c r="I43" s="3"/>
      <c r="J43" s="34" t="s">
        <v>729</v>
      </c>
      <c r="K43" s="40">
        <v>121534.564</v>
      </c>
      <c r="M43" s="51">
        <v>-110375.035</v>
      </c>
      <c r="N43" s="43"/>
      <c r="O43" s="94">
        <f>(K43+M43)</f>
        <v>11159.528999999995</v>
      </c>
    </row>
    <row r="44" spans="3:15" ht="16.5" customHeight="1">
      <c r="C44" s="9" t="s">
        <v>730</v>
      </c>
      <c r="G44" s="14"/>
      <c r="H44" s="14"/>
      <c r="J44" s="14"/>
      <c r="K44" s="40"/>
      <c r="M44" s="51" t="s">
        <v>560</v>
      </c>
      <c r="N44" s="43"/>
      <c r="O44" s="40"/>
    </row>
    <row r="45" spans="3:15" ht="16.5" customHeight="1">
      <c r="C45" s="9" t="s">
        <v>731</v>
      </c>
      <c r="G45" s="34" t="s">
        <v>702</v>
      </c>
      <c r="H45" s="16" t="s">
        <v>602</v>
      </c>
      <c r="I45" s="3"/>
      <c r="J45" s="34" t="s">
        <v>702</v>
      </c>
      <c r="K45" s="40">
        <v>282859.495</v>
      </c>
      <c r="M45" s="51">
        <v>-173308.672</v>
      </c>
      <c r="N45" s="43"/>
      <c r="O45" s="94">
        <f>(K45+M45)</f>
        <v>109550.823</v>
      </c>
    </row>
    <row r="46" spans="3:15" ht="16.5" customHeight="1">
      <c r="C46" s="9" t="s">
        <v>733</v>
      </c>
      <c r="G46" s="14"/>
      <c r="H46" s="14"/>
      <c r="J46" s="14"/>
      <c r="K46" s="40"/>
      <c r="M46" s="51" t="s">
        <v>560</v>
      </c>
      <c r="N46" s="43"/>
      <c r="O46" s="40"/>
    </row>
    <row r="47" spans="3:15" ht="16.5" customHeight="1">
      <c r="C47" s="9" t="s">
        <v>731</v>
      </c>
      <c r="G47" s="34" t="s">
        <v>702</v>
      </c>
      <c r="H47" s="16" t="s">
        <v>602</v>
      </c>
      <c r="I47" s="3"/>
      <c r="J47" s="34" t="s">
        <v>702</v>
      </c>
      <c r="K47" s="40">
        <v>37182.714</v>
      </c>
      <c r="M47" s="51">
        <v>-16874.693</v>
      </c>
      <c r="N47" s="43"/>
      <c r="O47" s="94">
        <f>(K47+M47)</f>
        <v>20308.021</v>
      </c>
    </row>
    <row r="48" spans="3:16" ht="16.5" customHeight="1">
      <c r="C48" s="9" t="s">
        <v>734</v>
      </c>
      <c r="F48" s="159">
        <v>10</v>
      </c>
      <c r="G48" s="34" t="s">
        <v>702</v>
      </c>
      <c r="H48" s="16" t="s">
        <v>602</v>
      </c>
      <c r="I48" s="3"/>
      <c r="J48" s="34" t="s">
        <v>735</v>
      </c>
      <c r="K48" s="94">
        <v>2986.073</v>
      </c>
      <c r="L48" s="63" t="s">
        <v>560</v>
      </c>
      <c r="M48" s="188">
        <v>-2952.335</v>
      </c>
      <c r="N48" s="187" t="s">
        <v>560</v>
      </c>
      <c r="O48" s="94">
        <f>(K48+M48)</f>
        <v>33.73799999999983</v>
      </c>
      <c r="P48" s="63"/>
    </row>
    <row r="49" spans="3:16" ht="16.5" customHeight="1">
      <c r="C49" s="9" t="s">
        <v>732</v>
      </c>
      <c r="G49" s="34" t="s">
        <v>702</v>
      </c>
      <c r="H49" s="16" t="s">
        <v>602</v>
      </c>
      <c r="I49" s="3"/>
      <c r="J49" s="34" t="s">
        <v>602</v>
      </c>
      <c r="K49" s="72">
        <v>300.257</v>
      </c>
      <c r="L49" s="73"/>
      <c r="M49" s="184">
        <v>-299.305</v>
      </c>
      <c r="N49" s="185"/>
      <c r="O49" s="95">
        <f>(K49+M49)</f>
        <v>0.9519999999999982</v>
      </c>
      <c r="P49" s="73"/>
    </row>
    <row r="50" spans="2:16" ht="21" customHeight="1">
      <c r="B50" s="241" t="s">
        <v>736</v>
      </c>
      <c r="C50" s="9"/>
      <c r="F50" s="66"/>
      <c r="G50" s="34"/>
      <c r="H50" s="16"/>
      <c r="I50" s="3"/>
      <c r="J50" s="34"/>
      <c r="K50" s="40"/>
      <c r="L50" s="63"/>
      <c r="M50" s="40"/>
      <c r="N50" s="63"/>
      <c r="O50" s="94"/>
      <c r="P50" s="63"/>
    </row>
    <row r="51" spans="2:16" ht="20.25" customHeight="1" thickBot="1">
      <c r="B51" s="241" t="s">
        <v>737</v>
      </c>
      <c r="G51" s="34" t="s">
        <v>602</v>
      </c>
      <c r="H51" s="16" t="s">
        <v>602</v>
      </c>
      <c r="I51" s="3"/>
      <c r="J51" s="34" t="s">
        <v>602</v>
      </c>
      <c r="K51" s="257">
        <f>SUM(K43:K49)</f>
        <v>444863.10299999994</v>
      </c>
      <c r="L51" s="258"/>
      <c r="M51" s="259">
        <f>SUM(M43:M49)</f>
        <v>-303810.04000000004</v>
      </c>
      <c r="N51" s="260"/>
      <c r="O51" s="257">
        <f>K51+M51</f>
        <v>141053.0629999999</v>
      </c>
      <c r="P51" s="258"/>
    </row>
    <row r="52" spans="7:15" ht="15.75" customHeight="1" thickTop="1">
      <c r="G52" s="14"/>
      <c r="H52" s="14"/>
      <c r="J52" s="14"/>
      <c r="K52" s="14"/>
      <c r="L52" s="21"/>
      <c r="M52" s="14"/>
      <c r="O52" s="14"/>
    </row>
    <row r="53" spans="2:15" ht="21" customHeight="1">
      <c r="B53" s="9" t="s">
        <v>738</v>
      </c>
      <c r="G53" s="14"/>
      <c r="H53" s="14"/>
      <c r="J53" s="14"/>
      <c r="K53" s="14"/>
      <c r="L53" s="21"/>
      <c r="M53" s="14"/>
      <c r="O53" s="14"/>
    </row>
    <row r="54" spans="3:15" ht="18" customHeight="1">
      <c r="C54" s="9" t="s">
        <v>739</v>
      </c>
      <c r="F54" s="159" t="s">
        <v>466</v>
      </c>
      <c r="G54" s="14"/>
      <c r="H54" s="14"/>
      <c r="J54" s="14"/>
      <c r="K54" s="14"/>
      <c r="M54" s="170"/>
      <c r="O54" s="14"/>
    </row>
    <row r="55" spans="4:15" ht="16.5" customHeight="1">
      <c r="D55" s="9" t="s">
        <v>740</v>
      </c>
      <c r="F55" s="159">
        <v>12</v>
      </c>
      <c r="G55" s="34" t="s">
        <v>702</v>
      </c>
      <c r="H55" s="16" t="s">
        <v>741</v>
      </c>
      <c r="I55" s="3"/>
      <c r="J55" s="34" t="s">
        <v>742</v>
      </c>
      <c r="K55" s="40">
        <v>136974.266</v>
      </c>
      <c r="M55" s="51">
        <v>-101221.68</v>
      </c>
      <c r="N55" s="43"/>
      <c r="O55" s="94">
        <f>+K55+M55</f>
        <v>35752.58600000001</v>
      </c>
    </row>
    <row r="56" spans="4:15" ht="16.5" customHeight="1">
      <c r="D56" s="9" t="s">
        <v>743</v>
      </c>
      <c r="F56" s="159">
        <v>12</v>
      </c>
      <c r="G56" s="34" t="s">
        <v>702</v>
      </c>
      <c r="H56" s="16" t="s">
        <v>741</v>
      </c>
      <c r="I56" s="3"/>
      <c r="J56" s="34" t="s">
        <v>742</v>
      </c>
      <c r="K56" s="40">
        <v>229802.45</v>
      </c>
      <c r="M56" s="51">
        <v>-105750.487</v>
      </c>
      <c r="N56" s="43"/>
      <c r="O56" s="94">
        <f>+K56+M56</f>
        <v>124051.96300000002</v>
      </c>
    </row>
    <row r="57" spans="4:15" ht="16.5" customHeight="1">
      <c r="D57" s="134" t="s">
        <v>744</v>
      </c>
      <c r="F57" s="159"/>
      <c r="G57" s="14"/>
      <c r="H57" s="14"/>
      <c r="J57" s="14"/>
      <c r="K57" s="14"/>
      <c r="M57" s="170"/>
      <c r="N57" s="43"/>
      <c r="O57" s="14"/>
    </row>
    <row r="58" spans="4:15" ht="16.5" customHeight="1">
      <c r="D58" s="9" t="s">
        <v>745</v>
      </c>
      <c r="F58" s="159"/>
      <c r="G58" s="34" t="s">
        <v>702</v>
      </c>
      <c r="H58" s="16" t="s">
        <v>741</v>
      </c>
      <c r="I58" s="3"/>
      <c r="J58" s="34" t="s">
        <v>742</v>
      </c>
      <c r="K58" s="40">
        <v>200.561</v>
      </c>
      <c r="M58" s="51">
        <v>-278.655</v>
      </c>
      <c r="N58" s="43"/>
      <c r="O58" s="94">
        <f>+K58+M58</f>
        <v>-78.09399999999997</v>
      </c>
    </row>
    <row r="59" spans="4:15" ht="16.5" customHeight="1">
      <c r="D59" s="9" t="s">
        <v>746</v>
      </c>
      <c r="F59" s="162"/>
      <c r="G59" s="34" t="s">
        <v>702</v>
      </c>
      <c r="H59" s="16" t="s">
        <v>741</v>
      </c>
      <c r="I59" s="3"/>
      <c r="J59" s="34" t="s">
        <v>724</v>
      </c>
      <c r="K59" s="40">
        <v>4919.682</v>
      </c>
      <c r="M59" s="51">
        <v>-4278.853</v>
      </c>
      <c r="N59" s="43"/>
      <c r="O59" s="94">
        <f>+K59+M59</f>
        <v>640.8289999999997</v>
      </c>
    </row>
    <row r="60" spans="4:15" ht="16.5" customHeight="1">
      <c r="D60" s="9" t="s">
        <v>747</v>
      </c>
      <c r="F60" s="162"/>
      <c r="G60" s="34" t="s">
        <v>702</v>
      </c>
      <c r="H60" s="16" t="s">
        <v>741</v>
      </c>
      <c r="I60" s="3"/>
      <c r="J60" s="34" t="s">
        <v>724</v>
      </c>
      <c r="K60" s="40">
        <v>18826.521</v>
      </c>
      <c r="M60" s="51">
        <v>-6445.481</v>
      </c>
      <c r="N60" s="43"/>
      <c r="O60" s="94">
        <f>(K60+M60)</f>
        <v>12381.04</v>
      </c>
    </row>
    <row r="61" spans="4:15" ht="16.5" customHeight="1">
      <c r="D61" s="9" t="s">
        <v>758</v>
      </c>
      <c r="F61" s="162"/>
      <c r="G61" s="34" t="s">
        <v>702</v>
      </c>
      <c r="H61" s="16" t="s">
        <v>741</v>
      </c>
      <c r="I61" s="3"/>
      <c r="J61" s="34" t="s">
        <v>724</v>
      </c>
      <c r="K61" s="40">
        <v>19.788</v>
      </c>
      <c r="M61" s="51" t="s">
        <v>251</v>
      </c>
      <c r="N61" s="43"/>
      <c r="O61" s="94">
        <f>(K61+M61)</f>
        <v>19.788</v>
      </c>
    </row>
    <row r="62" spans="4:15" ht="16.5" customHeight="1">
      <c r="D62" s="9" t="s">
        <v>759</v>
      </c>
      <c r="F62" s="159">
        <v>12</v>
      </c>
      <c r="G62" s="34" t="s">
        <v>702</v>
      </c>
      <c r="H62" s="16" t="s">
        <v>741</v>
      </c>
      <c r="I62" s="3"/>
      <c r="J62" s="34" t="s">
        <v>742</v>
      </c>
      <c r="K62" s="40">
        <v>11084.59</v>
      </c>
      <c r="M62" s="51">
        <v>-312.372</v>
      </c>
      <c r="N62" s="43"/>
      <c r="O62" s="94">
        <f>(K62+M62)</f>
        <v>10772.218</v>
      </c>
    </row>
    <row r="63" spans="3:16" ht="18" customHeight="1">
      <c r="C63" s="9" t="s">
        <v>760</v>
      </c>
      <c r="F63" s="162"/>
      <c r="G63" s="34" t="s">
        <v>602</v>
      </c>
      <c r="H63" s="16" t="s">
        <v>602</v>
      </c>
      <c r="I63" s="3"/>
      <c r="J63" s="34" t="s">
        <v>602</v>
      </c>
      <c r="K63" s="56">
        <f>SUM(K55:K62)</f>
        <v>401827.858</v>
      </c>
      <c r="L63" s="57"/>
      <c r="M63" s="56">
        <f>SUM(M55:M62)</f>
        <v>-218287.528</v>
      </c>
      <c r="N63" s="57"/>
      <c r="O63" s="56">
        <f>+K63+M63</f>
        <v>183540.33000000002</v>
      </c>
      <c r="P63" s="57"/>
    </row>
    <row r="64" spans="3:15" ht="16.5" customHeight="1">
      <c r="C64" s="9" t="s">
        <v>761</v>
      </c>
      <c r="F64" s="162"/>
      <c r="G64" s="14"/>
      <c r="H64" s="14"/>
      <c r="J64" s="14"/>
      <c r="K64" s="14"/>
      <c r="M64" s="40"/>
      <c r="O64" s="14"/>
    </row>
    <row r="65" spans="3:15" ht="16.5" customHeight="1">
      <c r="C65" s="9" t="s">
        <v>762</v>
      </c>
      <c r="F65" s="161" t="s">
        <v>467</v>
      </c>
      <c r="G65" s="34" t="s">
        <v>702</v>
      </c>
      <c r="H65" s="16" t="s">
        <v>741</v>
      </c>
      <c r="I65" s="3"/>
      <c r="J65" s="34" t="s">
        <v>742</v>
      </c>
      <c r="K65" s="40">
        <v>81.266</v>
      </c>
      <c r="M65" s="40">
        <v>-68.53</v>
      </c>
      <c r="O65" s="94">
        <f>(K65+M65)</f>
        <v>12.736000000000004</v>
      </c>
    </row>
    <row r="66" spans="3:16" ht="16.5" customHeight="1">
      <c r="C66" s="9" t="s">
        <v>763</v>
      </c>
      <c r="F66" s="162"/>
      <c r="G66" s="14"/>
      <c r="H66" s="14"/>
      <c r="J66" s="14"/>
      <c r="K66" s="14"/>
      <c r="M66" s="40"/>
      <c r="O66" s="14"/>
      <c r="P66" s="21"/>
    </row>
    <row r="67" spans="3:16" ht="16.5" customHeight="1">
      <c r="C67" s="9" t="s">
        <v>765</v>
      </c>
      <c r="F67" s="159">
        <v>14</v>
      </c>
      <c r="G67" s="34" t="s">
        <v>702</v>
      </c>
      <c r="H67" s="16" t="s">
        <v>741</v>
      </c>
      <c r="I67" s="3"/>
      <c r="J67" s="34" t="s">
        <v>742</v>
      </c>
      <c r="K67" s="40">
        <v>374.056</v>
      </c>
      <c r="L67" s="21"/>
      <c r="M67" s="40">
        <v>-326.407</v>
      </c>
      <c r="N67" s="21"/>
      <c r="O67" s="94">
        <f>(K67+M67)</f>
        <v>47.649</v>
      </c>
      <c r="P67" s="21"/>
    </row>
    <row r="68" spans="2:16" ht="20.25" customHeight="1">
      <c r="B68" s="9" t="s">
        <v>694</v>
      </c>
      <c r="G68" s="34"/>
      <c r="H68" s="16" t="s">
        <v>602</v>
      </c>
      <c r="I68" s="3"/>
      <c r="J68" s="34" t="s">
        <v>602</v>
      </c>
      <c r="K68" s="56">
        <f>K63+K65+K67</f>
        <v>402283.18</v>
      </c>
      <c r="L68" s="57"/>
      <c r="M68" s="56">
        <f>M63+M65+M67</f>
        <v>-218682.465</v>
      </c>
      <c r="N68" s="57"/>
      <c r="O68" s="56">
        <f>O63+O65+O67</f>
        <v>183600.71500000003</v>
      </c>
      <c r="P68" s="57"/>
    </row>
    <row r="69" spans="2:16" ht="15.75" customHeight="1">
      <c r="B69" s="9" t="s">
        <v>833</v>
      </c>
      <c r="G69" s="34"/>
      <c r="H69" s="16" t="s">
        <v>602</v>
      </c>
      <c r="I69" s="3"/>
      <c r="J69" s="34" t="s">
        <v>602</v>
      </c>
      <c r="K69" s="40">
        <f>8239.154+122.414</f>
        <v>8361.568000000001</v>
      </c>
      <c r="L69" s="21"/>
      <c r="M69" s="47" t="s">
        <v>601</v>
      </c>
      <c r="N69" s="27"/>
      <c r="O69" s="94">
        <f>(K69+M69)</f>
        <v>8361.568000000001</v>
      </c>
      <c r="P69" s="63"/>
    </row>
    <row r="70" spans="2:16" ht="15.75" customHeight="1" thickBot="1">
      <c r="B70" s="241" t="s">
        <v>522</v>
      </c>
      <c r="G70" s="34"/>
      <c r="H70" s="16" t="s">
        <v>602</v>
      </c>
      <c r="I70" s="3"/>
      <c r="J70" s="34" t="s">
        <v>602</v>
      </c>
      <c r="K70" s="235">
        <f>+K68+K69</f>
        <v>410644.748</v>
      </c>
      <c r="L70" s="252"/>
      <c r="M70" s="235">
        <f>+M68+M69</f>
        <v>-218682.465</v>
      </c>
      <c r="N70" s="252"/>
      <c r="O70" s="235">
        <f>+O68+O69</f>
        <v>191962.28300000002</v>
      </c>
      <c r="P70" s="54"/>
    </row>
    <row r="71" spans="2:16" ht="15.75" customHeight="1" thickTop="1">
      <c r="B71" s="241"/>
      <c r="G71" s="133"/>
      <c r="H71" s="99"/>
      <c r="I71" s="3"/>
      <c r="J71" s="133"/>
      <c r="K71" s="297"/>
      <c r="L71" s="387"/>
      <c r="M71" s="297"/>
      <c r="N71" s="387"/>
      <c r="O71" s="297"/>
      <c r="P71" s="63"/>
    </row>
    <row r="72" spans="2:16" ht="15.75" customHeight="1">
      <c r="B72" s="241"/>
      <c r="G72" s="133"/>
      <c r="H72" s="99"/>
      <c r="I72" s="3"/>
      <c r="J72" s="133"/>
      <c r="K72" s="297"/>
      <c r="L72" s="387"/>
      <c r="M72" s="297"/>
      <c r="N72" s="387"/>
      <c r="O72" s="297"/>
      <c r="P72" s="63"/>
    </row>
    <row r="73" spans="2:16" ht="15.75" customHeight="1">
      <c r="B73" s="241"/>
      <c r="G73" s="133"/>
      <c r="H73" s="99"/>
      <c r="I73" s="3"/>
      <c r="J73" s="133"/>
      <c r="K73" s="297"/>
      <c r="L73" s="387"/>
      <c r="M73" s="297"/>
      <c r="N73" s="387"/>
      <c r="O73" s="297"/>
      <c r="P73" s="63"/>
    </row>
    <row r="74" spans="2:16" ht="15.75" customHeight="1">
      <c r="B74" s="241"/>
      <c r="G74" s="133"/>
      <c r="H74" s="99"/>
      <c r="I74" s="3"/>
      <c r="J74" s="133"/>
      <c r="K74" s="297"/>
      <c r="L74" s="387"/>
      <c r="M74" s="297"/>
      <c r="N74" s="387"/>
      <c r="O74" s="297"/>
      <c r="P74" s="63"/>
    </row>
    <row r="75" spans="2:16" ht="15.75" customHeight="1">
      <c r="B75" s="241"/>
      <c r="G75" s="133"/>
      <c r="H75" s="99"/>
      <c r="I75" s="3"/>
      <c r="J75" s="133"/>
      <c r="K75" s="297"/>
      <c r="L75" s="387"/>
      <c r="M75" s="297"/>
      <c r="N75" s="387"/>
      <c r="O75" s="297"/>
      <c r="P75" s="63"/>
    </row>
    <row r="76" spans="2:16" ht="15.75" customHeight="1">
      <c r="B76" s="241"/>
      <c r="G76" s="133"/>
      <c r="H76" s="99"/>
      <c r="I76" s="3"/>
      <c r="J76" s="133"/>
      <c r="K76" s="297"/>
      <c r="L76" s="387"/>
      <c r="M76" s="297"/>
      <c r="N76" s="387"/>
      <c r="O76" s="297"/>
      <c r="P76" s="63"/>
    </row>
    <row r="77" spans="2:16" ht="15.75" customHeight="1">
      <c r="B77" s="241"/>
      <c r="G77" s="133"/>
      <c r="H77" s="99"/>
      <c r="I77" s="3"/>
      <c r="J77" s="133"/>
      <c r="K77" s="297"/>
      <c r="L77" s="387"/>
      <c r="M77" s="297"/>
      <c r="N77" s="387"/>
      <c r="O77" s="297"/>
      <c r="P77" s="63"/>
    </row>
    <row r="78" spans="2:16" ht="15.75" customHeight="1">
      <c r="B78" s="241"/>
      <c r="G78" s="133"/>
      <c r="H78" s="99"/>
      <c r="I78" s="3"/>
      <c r="J78" s="133"/>
      <c r="K78" s="297"/>
      <c r="L78" s="387"/>
      <c r="M78" s="297"/>
      <c r="N78" s="387"/>
      <c r="O78" s="297"/>
      <c r="P78" s="63"/>
    </row>
    <row r="79" s="102" customFormat="1" ht="15.75" customHeight="1" thickBot="1"/>
    <row r="80" ht="15.75" thickTop="1"/>
  </sheetData>
  <printOptions horizontalCentered="1"/>
  <pageMargins left="0" right="0" top="0.5" bottom="0.1" header="0" footer="0"/>
  <pageSetup horizontalDpi="300" verticalDpi="300" orientation="portrait" scale="48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321"/>
  <sheetViews>
    <sheetView showGridLines="0" view="pageBreakPreview" zoomScale="65" zoomScaleNormal="75" zoomScaleSheetLayoutView="65" workbookViewId="0" topLeftCell="A100">
      <selection activeCell="F107" sqref="F107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4.77734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3.77734375" style="0" customWidth="1"/>
    <col min="13" max="13" width="6.77734375" style="0" customWidth="1"/>
    <col min="14" max="14" width="5.3359375" style="0" customWidth="1"/>
    <col min="16" max="16" width="12.5546875" style="0" bestFit="1" customWidth="1"/>
  </cols>
  <sheetData>
    <row r="1" spans="2:13" ht="16.5" customHeight="1">
      <c r="B1" s="2" t="str">
        <f>(Marketable!B85)</f>
        <v>TABLE III - DETAIL OF TREASURY SECURITIES OUTSTANDING, MARCH 31, 2002 -- Continued</v>
      </c>
      <c r="C1" s="3"/>
      <c r="D1" s="2"/>
      <c r="E1" s="3"/>
      <c r="F1" s="3"/>
      <c r="G1" s="3"/>
      <c r="H1" s="3"/>
      <c r="I1" s="3"/>
      <c r="J1" s="3"/>
      <c r="K1" s="3"/>
      <c r="L1" s="3"/>
      <c r="M1" s="58">
        <v>7</v>
      </c>
    </row>
    <row r="2" spans="4:13" ht="11.25" customHeight="1" thickBot="1">
      <c r="D2" s="2"/>
      <c r="E2" s="3"/>
      <c r="F2" s="3"/>
      <c r="G2" s="3"/>
      <c r="H2" s="3"/>
      <c r="I2" s="3"/>
      <c r="J2" s="3"/>
      <c r="K2" s="3"/>
      <c r="L2" s="3"/>
      <c r="M2" s="58"/>
    </row>
    <row r="3" spans="1:13" ht="15.75" customHeight="1" thickTop="1">
      <c r="A3" s="32"/>
      <c r="B3" s="32"/>
      <c r="C3" s="32"/>
      <c r="D3" s="32"/>
      <c r="E3" s="32"/>
      <c r="F3" s="32"/>
      <c r="G3" s="32"/>
      <c r="H3" s="26"/>
      <c r="I3" s="32"/>
      <c r="J3" s="32"/>
      <c r="K3" s="32"/>
      <c r="L3" s="32"/>
      <c r="M3" s="32"/>
    </row>
    <row r="4" spans="8:13" ht="15.75" customHeight="1">
      <c r="H4" s="16" t="s">
        <v>590</v>
      </c>
      <c r="I4" s="3"/>
      <c r="J4" s="3"/>
      <c r="K4" s="3"/>
      <c r="L4" s="3"/>
      <c r="M4" s="3"/>
    </row>
    <row r="5" spans="1:13" ht="15.75" customHeight="1">
      <c r="A5" s="3" t="s">
        <v>591</v>
      </c>
      <c r="B5" s="3"/>
      <c r="C5" s="3"/>
      <c r="D5" s="3"/>
      <c r="E5" s="3"/>
      <c r="F5" s="3"/>
      <c r="G5" s="3"/>
      <c r="H5" s="16" t="s">
        <v>560</v>
      </c>
      <c r="I5" s="3"/>
      <c r="J5" s="3"/>
      <c r="K5" s="3"/>
      <c r="L5" s="3"/>
      <c r="M5" s="3"/>
    </row>
    <row r="6" spans="1:13" ht="16.5" customHeight="1">
      <c r="A6" s="15"/>
      <c r="B6" s="15"/>
      <c r="C6" s="15"/>
      <c r="D6" s="15"/>
      <c r="E6" s="15"/>
      <c r="F6" s="15"/>
      <c r="G6" s="15"/>
      <c r="H6" s="37" t="s">
        <v>595</v>
      </c>
      <c r="I6" s="38"/>
      <c r="J6" s="37" t="s">
        <v>596</v>
      </c>
      <c r="K6" s="38"/>
      <c r="L6" s="37" t="s">
        <v>563</v>
      </c>
      <c r="M6" s="38"/>
    </row>
    <row r="7" spans="8:12" ht="15.75" customHeight="1">
      <c r="H7" s="14"/>
      <c r="J7" s="14"/>
      <c r="L7" s="14"/>
    </row>
    <row r="8" spans="1:12" ht="18" customHeight="1">
      <c r="A8" s="43"/>
      <c r="B8" s="7" t="s">
        <v>766</v>
      </c>
      <c r="H8" s="14"/>
      <c r="J8" s="14"/>
      <c r="L8" s="14"/>
    </row>
    <row r="9" spans="2:15" ht="21" customHeight="1">
      <c r="B9" s="167" t="s">
        <v>464</v>
      </c>
      <c r="C9" s="78"/>
      <c r="D9" s="78"/>
      <c r="H9" s="40"/>
      <c r="I9" s="21"/>
      <c r="J9" s="40"/>
      <c r="K9" s="21"/>
      <c r="L9" s="40"/>
      <c r="M9" s="21"/>
      <c r="O9" s="314"/>
    </row>
    <row r="10" spans="3:15" ht="15.75" customHeight="1">
      <c r="C10" s="9" t="s">
        <v>523</v>
      </c>
      <c r="H10" s="40">
        <v>665.959</v>
      </c>
      <c r="I10" s="21" t="s">
        <v>560</v>
      </c>
      <c r="J10" s="40">
        <v>-3.631</v>
      </c>
      <c r="K10" s="21"/>
      <c r="L10" s="40">
        <f>(H10+J10)</f>
        <v>662.328</v>
      </c>
      <c r="M10" s="21"/>
      <c r="O10" s="314"/>
    </row>
    <row r="11" spans="3:15" ht="15.75" customHeight="1">
      <c r="C11" s="9"/>
      <c r="H11" s="40"/>
      <c r="I11" s="21"/>
      <c r="J11" s="40"/>
      <c r="K11" s="21"/>
      <c r="L11" s="40"/>
      <c r="M11" s="21"/>
      <c r="O11" s="314"/>
    </row>
    <row r="12" spans="3:15" ht="15.75" customHeight="1">
      <c r="C12" s="9" t="s">
        <v>311</v>
      </c>
      <c r="H12" s="40"/>
      <c r="I12" s="21"/>
      <c r="J12" s="40"/>
      <c r="K12" s="21"/>
      <c r="L12" s="40"/>
      <c r="M12" s="21"/>
      <c r="O12" s="314"/>
    </row>
    <row r="13" spans="3:15" ht="15.75" customHeight="1">
      <c r="C13" s="9" t="s">
        <v>312</v>
      </c>
      <c r="H13" s="40">
        <v>0.762</v>
      </c>
      <c r="I13" s="21" t="s">
        <v>560</v>
      </c>
      <c r="J13" s="47" t="s">
        <v>601</v>
      </c>
      <c r="K13" s="27"/>
      <c r="L13" s="40">
        <f>(H13+J13)</f>
        <v>0.762</v>
      </c>
      <c r="M13" s="21"/>
      <c r="O13" s="314"/>
    </row>
    <row r="14" spans="3:15" ht="15.75" customHeight="1">
      <c r="C14" s="9" t="s">
        <v>15</v>
      </c>
      <c r="H14" s="40"/>
      <c r="I14" s="21"/>
      <c r="J14" s="40"/>
      <c r="K14" s="21"/>
      <c r="L14" s="40"/>
      <c r="M14" s="21"/>
      <c r="O14" s="314"/>
    </row>
    <row r="15" spans="3:15" ht="15.75" customHeight="1">
      <c r="C15" s="9" t="s">
        <v>533</v>
      </c>
      <c r="H15" s="40">
        <v>72.76</v>
      </c>
      <c r="I15" s="21" t="s">
        <v>560</v>
      </c>
      <c r="J15" s="47" t="s">
        <v>601</v>
      </c>
      <c r="K15" s="27"/>
      <c r="L15" s="40">
        <f>(H15+J15)</f>
        <v>72.76</v>
      </c>
      <c r="M15" s="21"/>
      <c r="O15" s="314"/>
    </row>
    <row r="16" spans="3:15" ht="15.75" customHeight="1">
      <c r="C16" s="9"/>
      <c r="H16" s="40"/>
      <c r="I16" s="21"/>
      <c r="J16" s="47"/>
      <c r="K16" s="27"/>
      <c r="L16" s="40"/>
      <c r="M16" s="21"/>
      <c r="O16" s="314"/>
    </row>
    <row r="17" spans="3:15" ht="15.75" customHeight="1">
      <c r="C17" s="9" t="s">
        <v>834</v>
      </c>
      <c r="H17" s="51">
        <v>23.455</v>
      </c>
      <c r="I17" s="21"/>
      <c r="J17" s="47" t="s">
        <v>601</v>
      </c>
      <c r="K17" s="27"/>
      <c r="L17" s="40">
        <f>(H17+J17)</f>
        <v>23.455</v>
      </c>
      <c r="M17" s="21"/>
      <c r="O17" s="314"/>
    </row>
    <row r="18" spans="3:15" ht="15.75" customHeight="1">
      <c r="C18" s="9"/>
      <c r="H18" s="51"/>
      <c r="I18" s="21"/>
      <c r="J18" s="51"/>
      <c r="K18" s="27"/>
      <c r="L18" s="40"/>
      <c r="M18" s="21"/>
      <c r="O18" s="314"/>
    </row>
    <row r="19" spans="3:15" ht="15.75" customHeight="1">
      <c r="C19" s="9" t="s">
        <v>524</v>
      </c>
      <c r="H19" s="40">
        <v>134.595</v>
      </c>
      <c r="I19" s="21"/>
      <c r="J19" s="40">
        <v>-3.278</v>
      </c>
      <c r="K19" s="21"/>
      <c r="L19" s="40">
        <f>(H19+J19)</f>
        <v>131.317</v>
      </c>
      <c r="M19" s="21"/>
      <c r="O19" s="314"/>
    </row>
    <row r="20" spans="3:15" ht="15.75" customHeight="1">
      <c r="C20" s="9"/>
      <c r="H20" s="40"/>
      <c r="I20" s="21"/>
      <c r="J20" s="40" t="s">
        <v>560</v>
      </c>
      <c r="K20" s="21"/>
      <c r="L20" s="40"/>
      <c r="M20" s="21"/>
      <c r="O20" s="314"/>
    </row>
    <row r="21" spans="3:15" ht="15.75" customHeight="1">
      <c r="C21" s="9" t="s">
        <v>525</v>
      </c>
      <c r="H21" s="51" t="s">
        <v>788</v>
      </c>
      <c r="I21" s="21"/>
      <c r="J21" s="47" t="s">
        <v>601</v>
      </c>
      <c r="K21" s="27"/>
      <c r="L21" s="51" t="s">
        <v>788</v>
      </c>
      <c r="M21" s="21"/>
      <c r="O21" s="314"/>
    </row>
    <row r="22" spans="3:15" ht="15.75" customHeight="1">
      <c r="C22" s="9"/>
      <c r="H22" s="51"/>
      <c r="I22" s="21"/>
      <c r="J22" s="47"/>
      <c r="K22" s="27"/>
      <c r="L22" s="51"/>
      <c r="M22" s="21"/>
      <c r="O22" s="314"/>
    </row>
    <row r="23" spans="3:15" ht="15.75" customHeight="1">
      <c r="C23" s="9" t="s">
        <v>330</v>
      </c>
      <c r="H23" s="40">
        <v>28.305</v>
      </c>
      <c r="I23" s="21"/>
      <c r="J23" s="47" t="s">
        <v>601</v>
      </c>
      <c r="K23" s="3"/>
      <c r="L23" s="40">
        <f>(H23+J23)</f>
        <v>28.305</v>
      </c>
      <c r="M23" s="21"/>
      <c r="O23" s="314"/>
    </row>
    <row r="24" spans="3:15" ht="15.75" customHeight="1">
      <c r="C24" s="9"/>
      <c r="H24" s="51"/>
      <c r="I24" s="21"/>
      <c r="J24" s="47"/>
      <c r="K24" s="27"/>
      <c r="L24" s="51"/>
      <c r="M24" s="21"/>
      <c r="O24" s="314"/>
    </row>
    <row r="25" spans="3:15" ht="15.75" customHeight="1">
      <c r="C25" s="9" t="s">
        <v>526</v>
      </c>
      <c r="H25" s="40">
        <v>32.884</v>
      </c>
      <c r="I25" s="21"/>
      <c r="J25" s="47" t="s">
        <v>601</v>
      </c>
      <c r="K25" s="3"/>
      <c r="L25" s="40">
        <f>(H25+J25)</f>
        <v>32.884</v>
      </c>
      <c r="M25" s="21"/>
      <c r="O25" s="314"/>
    </row>
    <row r="26" spans="3:15" ht="15.75" customHeight="1">
      <c r="C26" s="134"/>
      <c r="H26" s="51"/>
      <c r="I26" s="21"/>
      <c r="J26" s="47"/>
      <c r="K26" s="27"/>
      <c r="L26" s="51"/>
      <c r="M26" s="21"/>
      <c r="O26" s="314"/>
    </row>
    <row r="27" spans="3:15" ht="15.75" customHeight="1">
      <c r="C27" s="9" t="s">
        <v>558</v>
      </c>
      <c r="H27" s="40"/>
      <c r="I27" s="21"/>
      <c r="J27" s="40"/>
      <c r="K27" s="21"/>
      <c r="L27" s="40"/>
      <c r="M27" s="21"/>
      <c r="O27" s="314"/>
    </row>
    <row r="28" spans="3:15" ht="15.75" customHeight="1">
      <c r="C28" s="9" t="s">
        <v>527</v>
      </c>
      <c r="H28" s="40">
        <v>295.31</v>
      </c>
      <c r="I28" s="21"/>
      <c r="J28" s="47" t="s">
        <v>601</v>
      </c>
      <c r="K28" s="27"/>
      <c r="L28" s="40">
        <f>(H28+J28)</f>
        <v>295.31</v>
      </c>
      <c r="M28" s="21"/>
      <c r="O28" s="314"/>
    </row>
    <row r="29" spans="3:15" ht="15.75" customHeight="1">
      <c r="C29" s="9"/>
      <c r="H29" s="40"/>
      <c r="I29" s="21"/>
      <c r="J29" s="47"/>
      <c r="K29" s="27"/>
      <c r="L29" s="40"/>
      <c r="M29" s="21"/>
      <c r="O29" s="314"/>
    </row>
    <row r="30" spans="3:15" ht="15.75" customHeight="1">
      <c r="C30" s="9" t="s">
        <v>331</v>
      </c>
      <c r="H30" s="40">
        <v>603.489</v>
      </c>
      <c r="I30" s="21"/>
      <c r="J30" s="47" t="s">
        <v>601</v>
      </c>
      <c r="K30" s="27"/>
      <c r="L30" s="40">
        <f>(H30+J30)</f>
        <v>603.489</v>
      </c>
      <c r="M30" s="21"/>
      <c r="O30" s="314"/>
    </row>
    <row r="31" spans="3:15" ht="15.75" customHeight="1">
      <c r="C31" s="9" t="s">
        <v>531</v>
      </c>
      <c r="H31" s="40">
        <v>1</v>
      </c>
      <c r="I31" s="21"/>
      <c r="J31" s="47" t="s">
        <v>601</v>
      </c>
      <c r="K31" s="27"/>
      <c r="L31" s="40">
        <f>(H31+J31)</f>
        <v>1</v>
      </c>
      <c r="M31" s="21"/>
      <c r="O31" s="314"/>
    </row>
    <row r="32" spans="3:15" ht="15.75" customHeight="1">
      <c r="C32" s="9" t="s">
        <v>532</v>
      </c>
      <c r="H32" s="40">
        <v>985.89</v>
      </c>
      <c r="I32" s="21"/>
      <c r="J32" s="47" t="s">
        <v>601</v>
      </c>
      <c r="K32" s="27"/>
      <c r="L32" s="40">
        <f>(H32+J32)</f>
        <v>985.89</v>
      </c>
      <c r="M32" s="21"/>
      <c r="O32" s="314"/>
    </row>
    <row r="33" spans="3:15" ht="15.75" customHeight="1">
      <c r="C33" s="9"/>
      <c r="H33" s="40"/>
      <c r="I33" s="21"/>
      <c r="J33" s="47"/>
      <c r="K33" s="27"/>
      <c r="L33" s="40"/>
      <c r="M33" s="21"/>
      <c r="O33" s="314"/>
    </row>
    <row r="34" spans="3:15" ht="15.75" customHeight="1">
      <c r="C34" s="9" t="s">
        <v>536</v>
      </c>
      <c r="H34" s="40">
        <v>40404.478</v>
      </c>
      <c r="I34" s="21"/>
      <c r="J34" s="47" t="s">
        <v>601</v>
      </c>
      <c r="K34" s="27"/>
      <c r="L34" s="40">
        <f>(H34+J34)</f>
        <v>40404.478</v>
      </c>
      <c r="M34" s="21"/>
      <c r="O34" s="314"/>
    </row>
    <row r="35" spans="3:15" ht="15.75" customHeight="1">
      <c r="C35" s="9" t="s">
        <v>537</v>
      </c>
      <c r="H35" s="40">
        <v>22.873</v>
      </c>
      <c r="I35" s="21"/>
      <c r="J35" s="51">
        <v>-1.959</v>
      </c>
      <c r="K35" s="27"/>
      <c r="L35" s="40">
        <f>(H35+J35)</f>
        <v>20.914</v>
      </c>
      <c r="M35" s="21"/>
      <c r="O35" s="314"/>
    </row>
    <row r="36" spans="3:15" ht="15.75" customHeight="1">
      <c r="C36" s="9"/>
      <c r="H36" s="40"/>
      <c r="I36" s="21"/>
      <c r="J36" s="47"/>
      <c r="K36" s="27"/>
      <c r="L36" s="40"/>
      <c r="M36" s="21"/>
      <c r="O36" s="314"/>
    </row>
    <row r="37" spans="3:15" ht="15.75" customHeight="1">
      <c r="C37" s="9" t="s">
        <v>538</v>
      </c>
      <c r="H37" s="51">
        <v>3.158</v>
      </c>
      <c r="I37" s="21"/>
      <c r="J37" s="47" t="s">
        <v>601</v>
      </c>
      <c r="K37" s="27"/>
      <c r="L37" s="40">
        <f>(H37+J37)</f>
        <v>3.158</v>
      </c>
      <c r="M37" s="21"/>
      <c r="O37" s="314"/>
    </row>
    <row r="38" spans="3:15" ht="15.75" customHeight="1">
      <c r="C38" s="9"/>
      <c r="H38" s="51"/>
      <c r="I38" s="21"/>
      <c r="J38" s="47"/>
      <c r="K38" s="27"/>
      <c r="L38" s="40"/>
      <c r="M38" s="21"/>
      <c r="O38" s="314"/>
    </row>
    <row r="39" spans="3:15" ht="15.75" customHeight="1">
      <c r="C39" s="9" t="s">
        <v>539</v>
      </c>
      <c r="H39" s="40">
        <v>1.582</v>
      </c>
      <c r="I39" s="21"/>
      <c r="J39" s="47" t="s">
        <v>601</v>
      </c>
      <c r="K39" s="27"/>
      <c r="L39" s="40">
        <f>(H39+J39)</f>
        <v>1.582</v>
      </c>
      <c r="M39" s="21"/>
      <c r="O39" s="314"/>
    </row>
    <row r="40" spans="2:15" s="75" customFormat="1" ht="15.75" customHeight="1">
      <c r="B40" s="78" t="s">
        <v>835</v>
      </c>
      <c r="C40" s="296"/>
      <c r="H40" s="417">
        <f>SUM(H10:H39)+0.155+0.348</f>
        <v>43277.003000000004</v>
      </c>
      <c r="I40" s="418"/>
      <c r="J40" s="417">
        <f>SUM(J10:J39)</f>
        <v>-8.868</v>
      </c>
      <c r="K40" s="419"/>
      <c r="L40" s="417">
        <f>SUM(L10:L39)</f>
        <v>43267.632000000005</v>
      </c>
      <c r="M40" s="418"/>
      <c r="O40" s="386"/>
    </row>
    <row r="41" spans="2:15" s="75" customFormat="1" ht="15.75" customHeight="1">
      <c r="B41" s="78" t="s">
        <v>491</v>
      </c>
      <c r="C41" s="296"/>
      <c r="H41" s="440">
        <v>1</v>
      </c>
      <c r="I41" s="441"/>
      <c r="J41" s="230" t="s">
        <v>601</v>
      </c>
      <c r="K41" s="442"/>
      <c r="L41" s="440">
        <f>H41</f>
        <v>1</v>
      </c>
      <c r="M41" s="441"/>
      <c r="O41" s="386"/>
    </row>
    <row r="42" spans="2:15" s="75" customFormat="1" ht="15.75" customHeight="1" thickBot="1">
      <c r="B42" s="75" t="s">
        <v>802</v>
      </c>
      <c r="C42" s="296"/>
      <c r="H42" s="253">
        <f>SUM(H40:H41)</f>
        <v>43278.003000000004</v>
      </c>
      <c r="I42" s="236"/>
      <c r="J42" s="253">
        <f>SUM(J40:J41)</f>
        <v>-8.868</v>
      </c>
      <c r="K42" s="239"/>
      <c r="L42" s="253">
        <f>SUM(L40:L41)</f>
        <v>43268.632000000005</v>
      </c>
      <c r="M42" s="236"/>
      <c r="O42" s="386"/>
    </row>
    <row r="43" spans="3:15" ht="15.75" customHeight="1" thickTop="1">
      <c r="C43" s="134"/>
      <c r="H43" s="51"/>
      <c r="I43" s="21"/>
      <c r="J43" s="47"/>
      <c r="K43" s="27"/>
      <c r="L43" s="51"/>
      <c r="M43" s="21"/>
      <c r="O43" s="314"/>
    </row>
    <row r="44" spans="2:15" ht="15.75" customHeight="1">
      <c r="B44" t="s">
        <v>465</v>
      </c>
      <c r="C44" s="134"/>
      <c r="H44" s="51"/>
      <c r="I44" s="21"/>
      <c r="J44" s="47"/>
      <c r="K44" s="27"/>
      <c r="L44" s="51"/>
      <c r="M44" s="21"/>
      <c r="O44" s="314"/>
    </row>
    <row r="45" spans="3:15" ht="15.75" customHeight="1">
      <c r="C45" s="9" t="s">
        <v>767</v>
      </c>
      <c r="H45" s="40"/>
      <c r="I45" s="21"/>
      <c r="J45" s="40"/>
      <c r="K45" s="21"/>
      <c r="L45" s="40"/>
      <c r="M45" s="21"/>
      <c r="O45" s="314"/>
    </row>
    <row r="46" spans="3:15" ht="15.75" customHeight="1">
      <c r="C46" s="9" t="s">
        <v>540</v>
      </c>
      <c r="H46" s="40">
        <v>1842.706</v>
      </c>
      <c r="I46" s="21"/>
      <c r="J46" s="47" t="s">
        <v>601</v>
      </c>
      <c r="K46" s="27"/>
      <c r="L46" s="40">
        <f aca="true" t="shared" si="0" ref="L46:L52">(H46+J46)</f>
        <v>1842.706</v>
      </c>
      <c r="M46" s="41"/>
      <c r="O46" s="314"/>
    </row>
    <row r="47" spans="3:15" ht="15.75" customHeight="1">
      <c r="C47" s="9" t="s">
        <v>769</v>
      </c>
      <c r="H47" s="40">
        <v>18050.503</v>
      </c>
      <c r="I47" s="21" t="s">
        <v>560</v>
      </c>
      <c r="J47" s="51">
        <v>-4550.069</v>
      </c>
      <c r="K47" s="27"/>
      <c r="L47" s="40">
        <f t="shared" si="0"/>
        <v>13500.434000000001</v>
      </c>
      <c r="M47" s="21"/>
      <c r="O47" s="314"/>
    </row>
    <row r="48" spans="3:15" ht="15.75" customHeight="1">
      <c r="C48" s="9" t="s">
        <v>770</v>
      </c>
      <c r="H48" s="40">
        <v>1.055</v>
      </c>
      <c r="I48" s="21"/>
      <c r="J48" s="47" t="s">
        <v>601</v>
      </c>
      <c r="K48" s="27"/>
      <c r="L48" s="40">
        <f t="shared" si="0"/>
        <v>1.055</v>
      </c>
      <c r="M48" s="21"/>
      <c r="O48" s="314"/>
    </row>
    <row r="49" spans="3:15" ht="15.75" customHeight="1">
      <c r="C49" s="9" t="s">
        <v>772</v>
      </c>
      <c r="H49" s="40">
        <v>1280.99</v>
      </c>
      <c r="I49" s="21"/>
      <c r="J49" s="47" t="s">
        <v>601</v>
      </c>
      <c r="K49" s="27"/>
      <c r="L49" s="40">
        <f t="shared" si="0"/>
        <v>1280.99</v>
      </c>
      <c r="M49" s="21"/>
      <c r="O49" s="314"/>
    </row>
    <row r="50" spans="3:15" ht="15.75" customHeight="1">
      <c r="C50" s="9" t="s">
        <v>298</v>
      </c>
      <c r="H50" s="40">
        <v>86.69</v>
      </c>
      <c r="I50" s="21"/>
      <c r="J50" s="47" t="s">
        <v>601</v>
      </c>
      <c r="K50" s="27"/>
      <c r="L50" s="40">
        <f t="shared" si="0"/>
        <v>86.69</v>
      </c>
      <c r="M50" s="21"/>
      <c r="O50" s="314"/>
    </row>
    <row r="51" spans="3:15" ht="15.75" customHeight="1">
      <c r="C51" s="9" t="s">
        <v>297</v>
      </c>
      <c r="H51" s="40">
        <v>372.225</v>
      </c>
      <c r="I51" s="21"/>
      <c r="J51" s="47" t="s">
        <v>601</v>
      </c>
      <c r="K51" s="27"/>
      <c r="L51" s="40">
        <f t="shared" si="0"/>
        <v>372.225</v>
      </c>
      <c r="M51" s="21"/>
      <c r="O51" s="314"/>
    </row>
    <row r="52" spans="3:15" ht="15.75" customHeight="1">
      <c r="C52" s="9" t="s">
        <v>296</v>
      </c>
      <c r="H52" s="40">
        <v>508.382</v>
      </c>
      <c r="I52" s="21"/>
      <c r="J52" s="47" t="s">
        <v>601</v>
      </c>
      <c r="K52" s="27"/>
      <c r="L52" s="40">
        <f t="shared" si="0"/>
        <v>508.382</v>
      </c>
      <c r="M52" s="21"/>
      <c r="O52" s="314"/>
    </row>
    <row r="53" spans="3:15" ht="15.75" customHeight="1">
      <c r="C53" s="9" t="s">
        <v>39</v>
      </c>
      <c r="H53" s="40">
        <v>100.89</v>
      </c>
      <c r="I53" s="21"/>
      <c r="J53" s="47" t="s">
        <v>601</v>
      </c>
      <c r="K53" s="27"/>
      <c r="L53" s="40">
        <f>(H53+J53)</f>
        <v>100.89</v>
      </c>
      <c r="M53" s="21"/>
      <c r="O53" s="314"/>
    </row>
    <row r="54" spans="8:15" ht="15.75" customHeight="1">
      <c r="H54" s="40"/>
      <c r="I54" s="21"/>
      <c r="J54" s="40"/>
      <c r="K54" s="21"/>
      <c r="L54" s="40"/>
      <c r="M54" s="21"/>
      <c r="O54" s="314"/>
    </row>
    <row r="55" spans="3:15" ht="15.75" customHeight="1">
      <c r="C55" s="9" t="s">
        <v>837</v>
      </c>
      <c r="H55" s="40">
        <v>30925.773</v>
      </c>
      <c r="I55" s="21"/>
      <c r="J55" s="51">
        <v>-1598</v>
      </c>
      <c r="K55" s="27"/>
      <c r="L55" s="40">
        <f>(H55+J55)</f>
        <v>29327.773</v>
      </c>
      <c r="M55" s="21"/>
      <c r="O55" s="314"/>
    </row>
    <row r="56" spans="2:15" ht="15.75" customHeight="1">
      <c r="B56" s="167"/>
      <c r="C56" s="9" t="s">
        <v>836</v>
      </c>
      <c r="D56" s="78"/>
      <c r="H56" s="40">
        <v>0.716</v>
      </c>
      <c r="I56" s="21"/>
      <c r="J56" s="47" t="s">
        <v>601</v>
      </c>
      <c r="K56" s="27"/>
      <c r="L56" s="40">
        <f>(H56+J56)</f>
        <v>0.716</v>
      </c>
      <c r="M56" s="21"/>
      <c r="O56" s="314"/>
    </row>
    <row r="57" spans="3:15" ht="15.75" customHeight="1">
      <c r="C57" s="9" t="s">
        <v>838</v>
      </c>
      <c r="H57" s="51">
        <v>1.543</v>
      </c>
      <c r="I57" s="21"/>
      <c r="J57" s="47" t="s">
        <v>601</v>
      </c>
      <c r="K57" s="27"/>
      <c r="L57" s="40">
        <f>(H57+J57)</f>
        <v>1.543</v>
      </c>
      <c r="M57" s="21"/>
      <c r="O57" s="314"/>
    </row>
    <row r="58" spans="3:15" ht="15.75" customHeight="1">
      <c r="C58" s="9" t="s">
        <v>360</v>
      </c>
      <c r="H58" s="51"/>
      <c r="I58" s="21"/>
      <c r="J58" s="47"/>
      <c r="K58" s="27"/>
      <c r="L58" s="40"/>
      <c r="M58" s="123"/>
      <c r="O58" s="314"/>
    </row>
    <row r="59" spans="3:15" ht="15.75" customHeight="1">
      <c r="C59" s="9" t="s">
        <v>541</v>
      </c>
      <c r="H59" s="51" t="s">
        <v>788</v>
      </c>
      <c r="I59" s="21"/>
      <c r="J59" s="47" t="s">
        <v>601</v>
      </c>
      <c r="K59" s="27"/>
      <c r="L59" s="51" t="s">
        <v>788</v>
      </c>
      <c r="M59" s="123"/>
      <c r="O59" s="314"/>
    </row>
    <row r="60" spans="8:15" ht="15.75" customHeight="1">
      <c r="H60" s="40"/>
      <c r="I60" s="111"/>
      <c r="J60" s="47"/>
      <c r="K60" s="27"/>
      <c r="L60" s="40"/>
      <c r="M60" s="21"/>
      <c r="O60" s="314"/>
    </row>
    <row r="61" spans="3:15" ht="15.75" customHeight="1">
      <c r="C61" s="9" t="s">
        <v>789</v>
      </c>
      <c r="H61" s="40">
        <v>60.649</v>
      </c>
      <c r="I61" s="21"/>
      <c r="J61" s="47" t="s">
        <v>601</v>
      </c>
      <c r="K61" s="27"/>
      <c r="L61" s="40">
        <f>(H61+J61)</f>
        <v>60.649</v>
      </c>
      <c r="M61" s="21"/>
      <c r="O61" s="314"/>
    </row>
    <row r="62" spans="3:15" ht="15.75" customHeight="1">
      <c r="C62" s="9" t="s">
        <v>361</v>
      </c>
      <c r="H62" s="40" t="s">
        <v>560</v>
      </c>
      <c r="I62" s="21"/>
      <c r="J62" s="47"/>
      <c r="K62" s="27"/>
      <c r="L62" s="40"/>
      <c r="M62" s="21"/>
      <c r="O62" s="314"/>
    </row>
    <row r="63" spans="3:15" ht="15.75" customHeight="1">
      <c r="C63" s="9" t="s">
        <v>839</v>
      </c>
      <c r="H63" s="51">
        <v>15.903</v>
      </c>
      <c r="I63" s="21"/>
      <c r="J63" s="47" t="s">
        <v>601</v>
      </c>
      <c r="K63" s="27"/>
      <c r="L63" s="40">
        <f>(H63+J63)</f>
        <v>15.903</v>
      </c>
      <c r="M63" s="123"/>
      <c r="O63" s="314"/>
    </row>
    <row r="64" spans="3:15" ht="15.75" customHeight="1">
      <c r="C64" s="9" t="s">
        <v>790</v>
      </c>
      <c r="H64" s="40"/>
      <c r="I64" s="21"/>
      <c r="J64" s="40"/>
      <c r="K64" s="21"/>
      <c r="L64" s="40"/>
      <c r="M64" s="21"/>
      <c r="O64" s="314"/>
    </row>
    <row r="65" spans="3:15" ht="15.75" customHeight="1">
      <c r="C65" s="9" t="s">
        <v>840</v>
      </c>
      <c r="H65" s="40">
        <v>4.458</v>
      </c>
      <c r="I65" s="21"/>
      <c r="J65" s="47" t="s">
        <v>601</v>
      </c>
      <c r="K65" s="27"/>
      <c r="L65" s="40">
        <f>(H65+J65)</f>
        <v>4.458</v>
      </c>
      <c r="M65" s="21"/>
      <c r="O65" s="314"/>
    </row>
    <row r="66" spans="3:15" ht="15.75" customHeight="1">
      <c r="C66" s="9" t="s">
        <v>841</v>
      </c>
      <c r="H66" s="40">
        <v>623167.548</v>
      </c>
      <c r="I66" s="21"/>
      <c r="J66" s="40">
        <v>-93346.873</v>
      </c>
      <c r="K66" s="21"/>
      <c r="L66" s="40">
        <f>(H66+J66)</f>
        <v>529820.6749999999</v>
      </c>
      <c r="M66" s="21"/>
      <c r="O66" s="314"/>
    </row>
    <row r="67" spans="3:15" ht="15.75" customHeight="1">
      <c r="C67" s="9" t="s">
        <v>791</v>
      </c>
      <c r="H67" s="40">
        <v>10.587</v>
      </c>
      <c r="I67" s="21"/>
      <c r="J67" s="47" t="s">
        <v>601</v>
      </c>
      <c r="K67" s="27"/>
      <c r="L67" s="40">
        <f>(H67+J67)</f>
        <v>10.587</v>
      </c>
      <c r="M67" s="21"/>
      <c r="O67" s="314"/>
    </row>
    <row r="68" spans="3:15" ht="15.75" customHeight="1">
      <c r="C68" s="9" t="s">
        <v>792</v>
      </c>
      <c r="H68" s="40">
        <v>1.423</v>
      </c>
      <c r="I68" s="21"/>
      <c r="J68" s="47" t="s">
        <v>601</v>
      </c>
      <c r="K68" s="27"/>
      <c r="L68" s="40">
        <f>(H68+J68)</f>
        <v>1.423</v>
      </c>
      <c r="M68" s="21"/>
      <c r="O68" s="314"/>
    </row>
    <row r="69" spans="3:15" ht="15.75" customHeight="1">
      <c r="C69" s="9" t="s">
        <v>803</v>
      </c>
      <c r="H69" s="40">
        <v>76.584</v>
      </c>
      <c r="I69" s="21"/>
      <c r="J69" s="47" t="s">
        <v>601</v>
      </c>
      <c r="K69" s="27"/>
      <c r="L69" s="40">
        <f>(H69+J69)</f>
        <v>76.584</v>
      </c>
      <c r="M69" s="21"/>
      <c r="O69" s="314"/>
    </row>
    <row r="70" spans="3:15" ht="15.75" customHeight="1">
      <c r="C70" s="9" t="s">
        <v>824</v>
      </c>
      <c r="H70" s="40"/>
      <c r="I70" s="21"/>
      <c r="J70" s="47"/>
      <c r="K70" s="27"/>
      <c r="L70" s="40"/>
      <c r="M70" s="21"/>
      <c r="O70" s="314"/>
    </row>
    <row r="71" spans="3:15" ht="15.75" customHeight="1">
      <c r="C71" s="9" t="s">
        <v>543</v>
      </c>
      <c r="H71" s="40">
        <v>5.621</v>
      </c>
      <c r="I71" s="21"/>
      <c r="J71" s="47" t="s">
        <v>601</v>
      </c>
      <c r="K71" s="27"/>
      <c r="L71" s="40">
        <f>(H71+J71)</f>
        <v>5.621</v>
      </c>
      <c r="M71" s="21"/>
      <c r="O71" s="314"/>
    </row>
    <row r="72" spans="3:15" ht="15.75" customHeight="1">
      <c r="C72" s="9" t="s">
        <v>842</v>
      </c>
      <c r="H72" s="51">
        <v>4.05</v>
      </c>
      <c r="I72" s="21"/>
      <c r="J72" s="47" t="s">
        <v>601</v>
      </c>
      <c r="K72" s="27"/>
      <c r="L72" s="40">
        <f>(H72+J72)</f>
        <v>4.05</v>
      </c>
      <c r="M72" s="123"/>
      <c r="O72" s="314"/>
    </row>
    <row r="73" spans="3:15" ht="15.75" customHeight="1">
      <c r="C73" s="9" t="s">
        <v>805</v>
      </c>
      <c r="H73" s="40">
        <v>83.24</v>
      </c>
      <c r="I73" s="21"/>
      <c r="J73" s="47" t="s">
        <v>601</v>
      </c>
      <c r="K73" s="27"/>
      <c r="L73" s="40">
        <f>(H73+J73)</f>
        <v>83.24</v>
      </c>
      <c r="M73" s="21"/>
      <c r="O73" s="314"/>
    </row>
    <row r="74" spans="3:15" ht="15.75" customHeight="1">
      <c r="C74" s="9" t="s">
        <v>808</v>
      </c>
      <c r="H74" s="40">
        <v>5.998</v>
      </c>
      <c r="I74" s="21"/>
      <c r="J74" s="51" t="s">
        <v>812</v>
      </c>
      <c r="K74" s="3"/>
      <c r="L74" s="40">
        <f>(H74+J74)</f>
        <v>5.998</v>
      </c>
      <c r="M74" s="21"/>
      <c r="O74" s="314"/>
    </row>
    <row r="75" spans="3:15" ht="15.75" customHeight="1">
      <c r="C75" s="9"/>
      <c r="H75" s="40"/>
      <c r="I75" s="21"/>
      <c r="J75" s="47"/>
      <c r="K75" s="27"/>
      <c r="L75" s="40"/>
      <c r="M75" s="21"/>
      <c r="O75" s="314"/>
    </row>
    <row r="76" spans="3:15" ht="15.75" customHeight="1">
      <c r="C76" s="9" t="s">
        <v>843</v>
      </c>
      <c r="H76" s="40">
        <v>7.745</v>
      </c>
      <c r="I76" s="21"/>
      <c r="J76" s="47" t="s">
        <v>601</v>
      </c>
      <c r="K76" s="27"/>
      <c r="L76" s="40">
        <f aca="true" t="shared" si="1" ref="L76:L83">(H76+J76)</f>
        <v>7.745</v>
      </c>
      <c r="M76" s="21"/>
      <c r="O76" s="314"/>
    </row>
    <row r="77" spans="3:15" ht="15.75" customHeight="1">
      <c r="C77" s="9" t="s">
        <v>809</v>
      </c>
      <c r="H77" s="40">
        <v>888.53</v>
      </c>
      <c r="I77" s="21"/>
      <c r="J77" s="40">
        <v>-16.278</v>
      </c>
      <c r="K77" s="21"/>
      <c r="L77" s="40">
        <f t="shared" si="1"/>
        <v>872.252</v>
      </c>
      <c r="M77" s="21"/>
      <c r="O77" s="314"/>
    </row>
    <row r="78" spans="3:15" ht="15.75" customHeight="1">
      <c r="C78" s="9" t="s">
        <v>810</v>
      </c>
      <c r="H78" s="40">
        <v>162968.662</v>
      </c>
      <c r="I78" s="21"/>
      <c r="J78" s="40">
        <v>-6961.745</v>
      </c>
      <c r="K78" s="21"/>
      <c r="L78" s="40">
        <f t="shared" si="1"/>
        <v>156006.91700000002</v>
      </c>
      <c r="M78" s="21"/>
      <c r="O78" s="314"/>
    </row>
    <row r="79" spans="3:15" ht="15.75" customHeight="1">
      <c r="C79" s="9" t="s">
        <v>811</v>
      </c>
      <c r="H79" s="40">
        <v>0.825</v>
      </c>
      <c r="I79" s="21"/>
      <c r="J79" s="51" t="s">
        <v>812</v>
      </c>
      <c r="K79" s="3"/>
      <c r="L79" s="40">
        <f t="shared" si="1"/>
        <v>0.825</v>
      </c>
      <c r="M79" s="21"/>
      <c r="O79" s="314"/>
    </row>
    <row r="80" spans="3:15" ht="15.75" customHeight="1">
      <c r="C80" s="9" t="s">
        <v>813</v>
      </c>
      <c r="H80" s="51">
        <v>2.975</v>
      </c>
      <c r="I80" s="21"/>
      <c r="J80" s="47" t="s">
        <v>601</v>
      </c>
      <c r="K80" s="27"/>
      <c r="L80" s="40">
        <f t="shared" si="1"/>
        <v>2.975</v>
      </c>
      <c r="M80" s="21"/>
      <c r="O80" s="314"/>
    </row>
    <row r="81" spans="3:15" ht="15.75" customHeight="1">
      <c r="C81" s="9" t="s">
        <v>814</v>
      </c>
      <c r="H81" s="51">
        <v>2.211</v>
      </c>
      <c r="I81" s="21"/>
      <c r="J81" s="47" t="s">
        <v>601</v>
      </c>
      <c r="K81" s="27"/>
      <c r="L81" s="40">
        <f t="shared" si="1"/>
        <v>2.211</v>
      </c>
      <c r="M81" s="110"/>
      <c r="O81" s="314"/>
    </row>
    <row r="82" spans="3:15" ht="15.75" customHeight="1">
      <c r="C82" s="9" t="s">
        <v>816</v>
      </c>
      <c r="H82" s="40">
        <v>84.342</v>
      </c>
      <c r="I82" s="21"/>
      <c r="J82" s="47" t="s">
        <v>601</v>
      </c>
      <c r="K82" s="27"/>
      <c r="L82" s="40">
        <f t="shared" si="1"/>
        <v>84.342</v>
      </c>
      <c r="M82" s="21"/>
      <c r="O82" s="314"/>
    </row>
    <row r="83" spans="3:15" ht="15.75" customHeight="1">
      <c r="C83" s="9" t="s">
        <v>427</v>
      </c>
      <c r="H83" s="40">
        <v>2552.841</v>
      </c>
      <c r="I83" s="21"/>
      <c r="J83" s="47" t="s">
        <v>601</v>
      </c>
      <c r="K83" s="27"/>
      <c r="L83" s="40">
        <f t="shared" si="1"/>
        <v>2552.841</v>
      </c>
      <c r="M83" s="21"/>
      <c r="O83" s="314"/>
    </row>
    <row r="84" spans="3:15" ht="15.75" customHeight="1">
      <c r="C84" s="9"/>
      <c r="H84" s="40"/>
      <c r="I84" s="21"/>
      <c r="J84" s="47"/>
      <c r="K84" s="27"/>
      <c r="L84" s="40"/>
      <c r="M84" s="21"/>
      <c r="O84" s="314"/>
    </row>
    <row r="85" spans="3:15" ht="15.75" customHeight="1">
      <c r="C85" s="9" t="s">
        <v>817</v>
      </c>
      <c r="H85" s="40">
        <v>10.982</v>
      </c>
      <c r="I85" s="21"/>
      <c r="J85" s="40">
        <v>-3.462</v>
      </c>
      <c r="K85" s="21"/>
      <c r="L85" s="40">
        <f aca="true" t="shared" si="2" ref="L85:L95">(H85+J85)</f>
        <v>7.52</v>
      </c>
      <c r="M85" s="21"/>
      <c r="O85" s="314"/>
    </row>
    <row r="86" spans="3:15" ht="15.75" customHeight="1">
      <c r="C86" s="9" t="s">
        <v>844</v>
      </c>
      <c r="H86" s="40">
        <v>8935.117</v>
      </c>
      <c r="I86" s="21"/>
      <c r="J86" s="40">
        <v>-1831.962</v>
      </c>
      <c r="K86" s="21"/>
      <c r="L86" s="40">
        <f t="shared" si="2"/>
        <v>7103.155000000001</v>
      </c>
      <c r="M86" s="21"/>
      <c r="O86" s="314"/>
    </row>
    <row r="87" spans="3:15" ht="15.75" customHeight="1">
      <c r="C87" s="9" t="s">
        <v>827</v>
      </c>
      <c r="H87" s="40">
        <v>24305.902</v>
      </c>
      <c r="I87" s="21"/>
      <c r="J87" s="47" t="s">
        <v>601</v>
      </c>
      <c r="K87" s="27"/>
      <c r="L87" s="40">
        <f t="shared" si="2"/>
        <v>24305.902</v>
      </c>
      <c r="M87" s="21"/>
      <c r="O87" s="314"/>
    </row>
    <row r="88" spans="3:15" ht="15.75" customHeight="1">
      <c r="C88" s="9" t="s">
        <v>544</v>
      </c>
      <c r="H88" s="40">
        <v>0.544</v>
      </c>
      <c r="I88" s="21"/>
      <c r="J88" s="47" t="s">
        <v>601</v>
      </c>
      <c r="K88" s="27"/>
      <c r="L88" s="40">
        <f t="shared" si="2"/>
        <v>0.544</v>
      </c>
      <c r="M88" s="21"/>
      <c r="O88" s="314"/>
    </row>
    <row r="89" spans="3:15" ht="15.75" customHeight="1">
      <c r="C89" s="9" t="s">
        <v>845</v>
      </c>
      <c r="H89" s="51">
        <v>970.785</v>
      </c>
      <c r="I89" s="21"/>
      <c r="J89" s="47" t="s">
        <v>601</v>
      </c>
      <c r="K89" s="27"/>
      <c r="L89" s="40">
        <f t="shared" si="2"/>
        <v>970.785</v>
      </c>
      <c r="M89" s="21"/>
      <c r="O89" s="314"/>
    </row>
    <row r="90" spans="3:15" ht="15.75" customHeight="1">
      <c r="C90" s="9" t="s">
        <v>534</v>
      </c>
      <c r="H90" s="51">
        <v>1.31</v>
      </c>
      <c r="I90" s="21"/>
      <c r="J90" s="47" t="s">
        <v>601</v>
      </c>
      <c r="K90" s="27"/>
      <c r="L90" s="40">
        <f>(H90+J90)</f>
        <v>1.31</v>
      </c>
      <c r="M90" s="21"/>
      <c r="O90" s="314"/>
    </row>
    <row r="91" spans="3:15" ht="15.75" customHeight="1">
      <c r="C91" s="9" t="s">
        <v>828</v>
      </c>
      <c r="H91" s="51" t="s">
        <v>788</v>
      </c>
      <c r="I91" s="21"/>
      <c r="J91" s="47" t="s">
        <v>601</v>
      </c>
      <c r="K91" s="27"/>
      <c r="L91" s="51" t="s">
        <v>788</v>
      </c>
      <c r="M91" s="21"/>
      <c r="O91" s="314"/>
    </row>
    <row r="92" spans="3:15" ht="15.75" customHeight="1">
      <c r="C92" s="9" t="s">
        <v>829</v>
      </c>
      <c r="H92" s="51">
        <v>9812.518</v>
      </c>
      <c r="I92" s="21"/>
      <c r="J92" s="47" t="s">
        <v>601</v>
      </c>
      <c r="K92" s="27"/>
      <c r="L92" s="40">
        <f t="shared" si="2"/>
        <v>9812.518</v>
      </c>
      <c r="M92" s="21"/>
      <c r="O92" s="314"/>
    </row>
    <row r="93" spans="3:15" ht="15.75" customHeight="1">
      <c r="C93" s="9" t="s">
        <v>546</v>
      </c>
      <c r="H93" s="40">
        <v>148.039</v>
      </c>
      <c r="I93" s="21"/>
      <c r="J93" s="51">
        <v>-5.669</v>
      </c>
      <c r="K93" s="27"/>
      <c r="L93" s="40">
        <f t="shared" si="2"/>
        <v>142.36999999999998</v>
      </c>
      <c r="M93" s="21"/>
      <c r="O93" s="314"/>
    </row>
    <row r="94" spans="3:15" ht="15.75" customHeight="1">
      <c r="C94" t="s">
        <v>476</v>
      </c>
      <c r="H94" s="40"/>
      <c r="I94" s="21"/>
      <c r="J94" s="51"/>
      <c r="K94" s="27"/>
      <c r="L94" s="40"/>
      <c r="M94" s="21"/>
      <c r="O94" s="314"/>
    </row>
    <row r="95" spans="3:15" ht="15.75" customHeight="1">
      <c r="C95" s="9" t="s">
        <v>477</v>
      </c>
      <c r="H95" s="40">
        <v>23.84</v>
      </c>
      <c r="J95" s="47" t="s">
        <v>601</v>
      </c>
      <c r="K95" s="27"/>
      <c r="L95" s="40">
        <f t="shared" si="2"/>
        <v>23.84</v>
      </c>
      <c r="M95" s="21"/>
      <c r="O95" s="314"/>
    </row>
    <row r="96" spans="3:15" ht="15.75" customHeight="1">
      <c r="C96" s="9"/>
      <c r="H96" s="40"/>
      <c r="J96" s="47"/>
      <c r="K96" s="27"/>
      <c r="L96" s="40"/>
      <c r="M96" s="21"/>
      <c r="O96" s="314"/>
    </row>
    <row r="97" spans="3:15" ht="15.75" customHeight="1">
      <c r="C97" s="9" t="s">
        <v>830</v>
      </c>
      <c r="H97" s="40"/>
      <c r="I97" s="21"/>
      <c r="J97" s="40"/>
      <c r="K97" s="21"/>
      <c r="L97" s="40"/>
      <c r="M97" s="21"/>
      <c r="O97" s="314"/>
    </row>
    <row r="98" spans="3:15" ht="15.75" customHeight="1">
      <c r="C98" s="9" t="s">
        <v>846</v>
      </c>
      <c r="H98" s="40">
        <v>1646.685</v>
      </c>
      <c r="I98" s="21"/>
      <c r="J98" s="47" t="s">
        <v>601</v>
      </c>
      <c r="K98" s="27"/>
      <c r="L98" s="40">
        <f>(H98+J98)</f>
        <v>1646.685</v>
      </c>
      <c r="M98" s="21"/>
      <c r="O98" s="314"/>
    </row>
    <row r="99" spans="3:15" ht="15.75" customHeight="1">
      <c r="C99" s="9" t="s">
        <v>831</v>
      </c>
      <c r="H99" s="40">
        <v>495.707</v>
      </c>
      <c r="I99" s="21"/>
      <c r="J99" s="47" t="s">
        <v>601</v>
      </c>
      <c r="K99" s="27"/>
      <c r="L99" s="40">
        <f>(H99+J99)</f>
        <v>495.707</v>
      </c>
      <c r="M99" s="21"/>
      <c r="O99" s="314"/>
    </row>
    <row r="100" spans="3:15" ht="15.75" customHeight="1">
      <c r="C100" s="9" t="s">
        <v>832</v>
      </c>
      <c r="H100" s="40">
        <v>171070.516</v>
      </c>
      <c r="I100" s="21"/>
      <c r="J100" s="40">
        <v>-26384.767</v>
      </c>
      <c r="K100" s="21"/>
      <c r="L100" s="40">
        <f>(H100+J100)</f>
        <v>144685.749</v>
      </c>
      <c r="M100" s="21"/>
      <c r="O100" s="314"/>
    </row>
    <row r="101" spans="3:15" ht="15.75" customHeight="1">
      <c r="C101" s="9" t="s">
        <v>878</v>
      </c>
      <c r="H101" s="40">
        <v>276038.972</v>
      </c>
      <c r="I101" s="21"/>
      <c r="J101" s="51">
        <v>-61870.97</v>
      </c>
      <c r="K101" s="27"/>
      <c r="L101" s="40">
        <f>(H101+J101)</f>
        <v>214168.002</v>
      </c>
      <c r="M101" s="21"/>
      <c r="O101" s="314"/>
    </row>
    <row r="102" spans="1:15" ht="15.75" customHeight="1" thickBot="1">
      <c r="A102" s="102"/>
      <c r="B102" s="102"/>
      <c r="C102" s="104"/>
      <c r="D102" s="102"/>
      <c r="E102" s="102"/>
      <c r="F102" s="102"/>
      <c r="G102" s="102"/>
      <c r="H102" s="174"/>
      <c r="I102" s="105"/>
      <c r="J102" s="106"/>
      <c r="K102" s="106"/>
      <c r="L102" s="105"/>
      <c r="M102" s="105"/>
      <c r="O102" s="314"/>
    </row>
    <row r="103" spans="1:13" ht="16.5" customHeight="1" thickTop="1">
      <c r="A103" s="100">
        <v>8</v>
      </c>
      <c r="B103" s="2" t="str">
        <f>(Marketable!B85)</f>
        <v>TABLE III - DETAIL OF TREASURY SECURITIES OUTSTANDING, MARCH 31, 2002 -- Continued</v>
      </c>
      <c r="C103" s="2"/>
      <c r="D103" s="2"/>
      <c r="E103" s="3"/>
      <c r="F103" s="3"/>
      <c r="G103" s="3"/>
      <c r="H103" s="3"/>
      <c r="I103" s="29"/>
      <c r="J103" s="3"/>
      <c r="K103" s="3"/>
      <c r="L103" s="3"/>
      <c r="M103" s="2"/>
    </row>
    <row r="104" spans="1:13" ht="10.5" customHeight="1" thickBot="1">
      <c r="A104" s="59"/>
      <c r="B104" s="59"/>
      <c r="C104" s="7"/>
      <c r="D104" s="2"/>
      <c r="E104" s="3"/>
      <c r="F104" s="3"/>
      <c r="G104" s="3"/>
      <c r="H104" s="3"/>
      <c r="I104" s="29"/>
      <c r="J104" s="3"/>
      <c r="K104" s="3"/>
      <c r="L104" s="3"/>
      <c r="M104" s="2"/>
    </row>
    <row r="105" spans="1:13" ht="15.75" customHeight="1" thickTop="1">
      <c r="A105" s="32"/>
      <c r="B105" s="32"/>
      <c r="C105" s="32"/>
      <c r="D105" s="32"/>
      <c r="E105" s="32"/>
      <c r="F105" s="32"/>
      <c r="G105" s="32"/>
      <c r="H105" s="26"/>
      <c r="I105" s="32"/>
      <c r="J105" s="32"/>
      <c r="K105" s="32"/>
      <c r="L105" s="32"/>
      <c r="M105" s="32"/>
    </row>
    <row r="106" spans="8:13" ht="15.75" customHeight="1">
      <c r="H106" s="16" t="s">
        <v>590</v>
      </c>
      <c r="I106" s="3"/>
      <c r="J106" s="3"/>
      <c r="K106" s="3"/>
      <c r="L106" s="3"/>
      <c r="M106" s="3"/>
    </row>
    <row r="107" spans="1:13" ht="15.75" customHeight="1">
      <c r="A107" s="3" t="s">
        <v>591</v>
      </c>
      <c r="B107" s="3"/>
      <c r="C107" s="3"/>
      <c r="D107" s="3"/>
      <c r="E107" s="3"/>
      <c r="F107" s="3"/>
      <c r="G107" s="3"/>
      <c r="H107" s="16" t="s">
        <v>560</v>
      </c>
      <c r="I107" s="3"/>
      <c r="J107" s="3"/>
      <c r="K107" s="3"/>
      <c r="L107" s="3"/>
      <c r="M107" s="3"/>
    </row>
    <row r="108" spans="1:13" ht="16.5" customHeight="1">
      <c r="A108" s="15"/>
      <c r="B108" s="15"/>
      <c r="C108" s="15"/>
      <c r="D108" s="15"/>
      <c r="E108" s="15"/>
      <c r="F108" s="15"/>
      <c r="G108" s="15"/>
      <c r="H108" s="37" t="s">
        <v>595</v>
      </c>
      <c r="I108" s="38"/>
      <c r="J108" s="37" t="s">
        <v>596</v>
      </c>
      <c r="K108" s="38"/>
      <c r="L108" s="37" t="s">
        <v>563</v>
      </c>
      <c r="M108" s="38"/>
    </row>
    <row r="109" spans="8:12" ht="15.75" customHeight="1">
      <c r="H109" s="14"/>
      <c r="J109" s="14"/>
      <c r="L109" s="14"/>
    </row>
    <row r="110" spans="2:12" ht="18" customHeight="1">
      <c r="B110" s="7" t="s">
        <v>766</v>
      </c>
      <c r="E110" s="43"/>
      <c r="H110" s="14"/>
      <c r="J110" s="14"/>
      <c r="L110" s="14"/>
    </row>
    <row r="111" spans="2:15" ht="18" customHeight="1">
      <c r="B111" s="78" t="s">
        <v>469</v>
      </c>
      <c r="E111" s="43"/>
      <c r="H111" s="14"/>
      <c r="J111" s="14"/>
      <c r="L111" s="14"/>
      <c r="O111" s="314"/>
    </row>
    <row r="112" spans="3:15" ht="15.75" customHeight="1">
      <c r="C112" s="9" t="s">
        <v>879</v>
      </c>
      <c r="H112" s="40"/>
      <c r="I112" s="21"/>
      <c r="J112" s="40"/>
      <c r="K112" s="21"/>
      <c r="L112" s="40"/>
      <c r="M112" s="21"/>
      <c r="O112" s="314"/>
    </row>
    <row r="113" spans="3:15" ht="15.75" customHeight="1">
      <c r="C113" s="9" t="s">
        <v>282</v>
      </c>
      <c r="H113" s="40">
        <v>1.59</v>
      </c>
      <c r="I113" s="21"/>
      <c r="J113" s="47" t="s">
        <v>601</v>
      </c>
      <c r="K113" s="27"/>
      <c r="L113" s="40">
        <f aca="true" t="shared" si="3" ref="L113:L119">(H113+J113)</f>
        <v>1.59</v>
      </c>
      <c r="M113" s="21"/>
      <c r="O113" s="314"/>
    </row>
    <row r="114" spans="3:15" ht="15.75" customHeight="1">
      <c r="C114" s="9" t="s">
        <v>2</v>
      </c>
      <c r="H114" s="40">
        <v>20242.138</v>
      </c>
      <c r="I114" s="21"/>
      <c r="J114" s="47" t="s">
        <v>601</v>
      </c>
      <c r="K114" s="27"/>
      <c r="L114" s="40">
        <f t="shared" si="3"/>
        <v>20242.138</v>
      </c>
      <c r="M114" s="21"/>
      <c r="O114" s="314"/>
    </row>
    <row r="115" spans="3:15" ht="15.75" customHeight="1">
      <c r="C115" s="9" t="s">
        <v>1</v>
      </c>
      <c r="D115" s="9"/>
      <c r="H115" s="40">
        <v>1243482.522</v>
      </c>
      <c r="I115" s="21"/>
      <c r="J115" s="51">
        <v>-146501.713</v>
      </c>
      <c r="K115" s="27"/>
      <c r="L115" s="40">
        <f t="shared" si="3"/>
        <v>1096980.8090000001</v>
      </c>
      <c r="M115" s="21"/>
      <c r="O115" s="314"/>
    </row>
    <row r="116" spans="3:15" ht="15.75" customHeight="1">
      <c r="C116" s="9" t="s">
        <v>847</v>
      </c>
      <c r="E116" s="43"/>
      <c r="H116" s="40">
        <v>1106.3</v>
      </c>
      <c r="I116" s="21"/>
      <c r="J116" s="47" t="s">
        <v>601</v>
      </c>
      <c r="K116" s="27"/>
      <c r="L116" s="40">
        <f t="shared" si="3"/>
        <v>1106.3</v>
      </c>
      <c r="M116" s="21"/>
      <c r="O116" s="314"/>
    </row>
    <row r="117" spans="3:15" ht="15.75" customHeight="1">
      <c r="C117" s="9" t="s">
        <v>883</v>
      </c>
      <c r="H117" s="40">
        <v>91191.028</v>
      </c>
      <c r="I117" s="21"/>
      <c r="J117" s="40">
        <v>-48402.596</v>
      </c>
      <c r="K117" s="21"/>
      <c r="L117" s="40">
        <f t="shared" si="3"/>
        <v>42788.43200000001</v>
      </c>
      <c r="M117" s="21"/>
      <c r="O117" s="314"/>
    </row>
    <row r="118" spans="3:15" ht="15.75" customHeight="1">
      <c r="C118" s="9" t="s">
        <v>884</v>
      </c>
      <c r="H118" s="40">
        <v>11650.757</v>
      </c>
      <c r="I118" s="21"/>
      <c r="J118" s="51">
        <v>-119.269</v>
      </c>
      <c r="K118" s="27"/>
      <c r="L118" s="40">
        <f t="shared" si="3"/>
        <v>11531.488</v>
      </c>
      <c r="M118" s="21"/>
      <c r="O118" s="314"/>
    </row>
    <row r="119" spans="3:15" ht="15.75" customHeight="1">
      <c r="C119" s="9" t="s">
        <v>848</v>
      </c>
      <c r="H119" s="40">
        <v>2718.762</v>
      </c>
      <c r="I119" s="21"/>
      <c r="J119" s="47" t="s">
        <v>601</v>
      </c>
      <c r="K119" s="27"/>
      <c r="L119" s="40">
        <f t="shared" si="3"/>
        <v>2718.762</v>
      </c>
      <c r="M119" s="21"/>
      <c r="O119" s="314"/>
    </row>
    <row r="120" spans="3:15" ht="15.75" customHeight="1">
      <c r="C120" s="9"/>
      <c r="H120" s="94"/>
      <c r="I120" s="21"/>
      <c r="J120" s="309"/>
      <c r="K120" s="27"/>
      <c r="L120" s="94"/>
      <c r="M120" s="21"/>
      <c r="O120" s="314"/>
    </row>
    <row r="121" spans="3:15" ht="15.75" customHeight="1">
      <c r="C121" s="9" t="s">
        <v>887</v>
      </c>
      <c r="H121" s="40">
        <v>43.459</v>
      </c>
      <c r="I121" s="21"/>
      <c r="J121" s="47" t="s">
        <v>601</v>
      </c>
      <c r="K121" s="27"/>
      <c r="L121" s="40">
        <f>(H121+J121)</f>
        <v>43.459</v>
      </c>
      <c r="M121" s="21"/>
      <c r="O121" s="314"/>
    </row>
    <row r="122" spans="3:15" ht="15.75" customHeight="1">
      <c r="C122" s="9" t="s">
        <v>882</v>
      </c>
      <c r="H122" s="40">
        <v>4.974</v>
      </c>
      <c r="I122" s="21"/>
      <c r="J122" s="47" t="s">
        <v>601</v>
      </c>
      <c r="K122" s="27"/>
      <c r="L122" s="40">
        <f>(H122+J122)</f>
        <v>4.974</v>
      </c>
      <c r="M122" s="21"/>
      <c r="O122" s="314"/>
    </row>
    <row r="123" spans="3:15" ht="15" customHeight="1">
      <c r="C123" s="9" t="s">
        <v>825</v>
      </c>
      <c r="H123" s="51" t="s">
        <v>788</v>
      </c>
      <c r="I123" s="21"/>
      <c r="J123" s="47" t="s">
        <v>601</v>
      </c>
      <c r="K123" s="27"/>
      <c r="L123" s="51" t="s">
        <v>788</v>
      </c>
      <c r="M123" s="21"/>
      <c r="O123" s="314"/>
    </row>
    <row r="124" spans="3:15" ht="15.75" customHeight="1">
      <c r="C124" s="9" t="s">
        <v>106</v>
      </c>
      <c r="H124" s="51">
        <v>0.982</v>
      </c>
      <c r="I124" s="21"/>
      <c r="J124" s="51" t="s">
        <v>812</v>
      </c>
      <c r="K124" s="3"/>
      <c r="L124" s="40">
        <f>(H124+J124)</f>
        <v>0.982</v>
      </c>
      <c r="M124" s="21"/>
      <c r="O124" s="314"/>
    </row>
    <row r="125" spans="3:15" ht="15.75" customHeight="1">
      <c r="C125" s="9" t="s">
        <v>889</v>
      </c>
      <c r="H125" s="51">
        <v>0.799</v>
      </c>
      <c r="I125" s="21"/>
      <c r="J125" s="47" t="s">
        <v>601</v>
      </c>
      <c r="K125" s="27"/>
      <c r="L125" s="40">
        <f>(H125+J125)</f>
        <v>0.799</v>
      </c>
      <c r="M125" s="21"/>
      <c r="O125" s="314"/>
    </row>
    <row r="126" spans="3:15" ht="15.75" customHeight="1">
      <c r="C126" s="9" t="s">
        <v>890</v>
      </c>
      <c r="H126" s="51" t="s">
        <v>788</v>
      </c>
      <c r="I126" s="21"/>
      <c r="J126" s="47" t="s">
        <v>601</v>
      </c>
      <c r="K126" s="3"/>
      <c r="L126" s="51" t="s">
        <v>788</v>
      </c>
      <c r="M126" s="21"/>
      <c r="O126" s="314"/>
    </row>
    <row r="127" spans="3:15" ht="14.25" customHeight="1">
      <c r="C127" s="9" t="s">
        <v>892</v>
      </c>
      <c r="H127" s="40"/>
      <c r="I127" s="21"/>
      <c r="J127" s="40"/>
      <c r="K127" s="21"/>
      <c r="L127" s="40"/>
      <c r="M127" s="21"/>
      <c r="O127" s="314"/>
    </row>
    <row r="128" spans="3:15" ht="15.75" customHeight="1">
      <c r="C128" s="9" t="s">
        <v>849</v>
      </c>
      <c r="H128" s="40">
        <v>6747.189</v>
      </c>
      <c r="I128" s="21"/>
      <c r="J128" s="47" t="s">
        <v>601</v>
      </c>
      <c r="K128" s="27"/>
      <c r="L128" s="40">
        <f>(H128+J128)</f>
        <v>6747.189</v>
      </c>
      <c r="M128" s="21"/>
      <c r="O128" s="314"/>
    </row>
    <row r="129" spans="2:15" ht="18" customHeight="1">
      <c r="B129" s="7"/>
      <c r="E129" s="43"/>
      <c r="H129" s="14"/>
      <c r="J129" s="14"/>
      <c r="L129" s="14"/>
      <c r="O129" s="314"/>
    </row>
    <row r="130" spans="3:15" ht="15.75" customHeight="1">
      <c r="C130" s="9" t="s">
        <v>895</v>
      </c>
      <c r="H130" s="40">
        <v>1712.437</v>
      </c>
      <c r="I130" s="21"/>
      <c r="J130" s="47" t="s">
        <v>601</v>
      </c>
      <c r="K130" s="27"/>
      <c r="L130" s="40">
        <f>(H130+J130)</f>
        <v>1712.437</v>
      </c>
      <c r="M130" s="21"/>
      <c r="O130" s="314"/>
    </row>
    <row r="131" spans="3:15" ht="15.75" customHeight="1">
      <c r="C131" s="9" t="s">
        <v>896</v>
      </c>
      <c r="H131" s="40"/>
      <c r="I131" s="21"/>
      <c r="J131" s="40"/>
      <c r="K131" s="21"/>
      <c r="L131" s="40"/>
      <c r="M131" s="21"/>
      <c r="O131" s="314"/>
    </row>
    <row r="132" spans="3:15" ht="15.75" customHeight="1">
      <c r="C132" s="9" t="s">
        <v>850</v>
      </c>
      <c r="H132" s="40">
        <v>62.709</v>
      </c>
      <c r="I132" s="21"/>
      <c r="J132" s="40">
        <v>-6.648</v>
      </c>
      <c r="K132" s="21"/>
      <c r="L132" s="40">
        <f>(H132+J132)</f>
        <v>56.06100000000001</v>
      </c>
      <c r="M132" s="21"/>
      <c r="O132" s="314"/>
    </row>
    <row r="133" spans="3:15" ht="15.75" customHeight="1">
      <c r="C133" s="9" t="s">
        <v>567</v>
      </c>
      <c r="H133" s="40">
        <v>3478.768</v>
      </c>
      <c r="I133" s="21"/>
      <c r="J133" s="47" t="s">
        <v>601</v>
      </c>
      <c r="K133" s="27"/>
      <c r="L133" s="40">
        <f>(H133+J133)</f>
        <v>3478.768</v>
      </c>
      <c r="M133" s="21"/>
      <c r="O133" s="314"/>
    </row>
    <row r="134" spans="3:15" ht="15.75" customHeight="1">
      <c r="C134" s="9" t="s">
        <v>898</v>
      </c>
      <c r="H134" s="40">
        <v>51505.513</v>
      </c>
      <c r="I134" s="21"/>
      <c r="J134" s="51">
        <v>-31536.96</v>
      </c>
      <c r="K134" s="27"/>
      <c r="L134" s="40">
        <f>(H134+J134)</f>
        <v>19968.553</v>
      </c>
      <c r="M134" s="21"/>
      <c r="O134" s="314"/>
    </row>
    <row r="135" spans="3:15" ht="15.75" customHeight="1">
      <c r="C135" s="9" t="s">
        <v>818</v>
      </c>
      <c r="H135" s="51">
        <v>2.747</v>
      </c>
      <c r="I135" s="21"/>
      <c r="J135" s="51">
        <v>-1.049</v>
      </c>
      <c r="K135" s="27"/>
      <c r="L135" s="40">
        <f>(H135+J135)</f>
        <v>1.698</v>
      </c>
      <c r="M135" s="21"/>
      <c r="O135" s="314"/>
    </row>
    <row r="136" spans="3:15" ht="15.75" customHeight="1">
      <c r="C136" s="9"/>
      <c r="H136" s="40"/>
      <c r="I136" s="21"/>
      <c r="J136" s="40"/>
      <c r="K136" s="27"/>
      <c r="L136" s="40"/>
      <c r="M136" s="21"/>
      <c r="O136" s="314"/>
    </row>
    <row r="137" spans="3:15" ht="15.75" customHeight="1">
      <c r="C137" s="9" t="s">
        <v>851</v>
      </c>
      <c r="H137" s="40">
        <v>404.851</v>
      </c>
      <c r="I137" s="21"/>
      <c r="J137" s="47" t="s">
        <v>601</v>
      </c>
      <c r="K137" s="27"/>
      <c r="L137" s="40">
        <f>(H137+J137)</f>
        <v>404.851</v>
      </c>
      <c r="M137" s="21"/>
      <c r="O137" s="314"/>
    </row>
    <row r="138" spans="3:15" ht="15.75" customHeight="1">
      <c r="C138" s="134" t="s">
        <v>0</v>
      </c>
      <c r="H138" s="51" t="s">
        <v>788</v>
      </c>
      <c r="I138" s="21"/>
      <c r="J138" s="47" t="s">
        <v>601</v>
      </c>
      <c r="K138" s="27"/>
      <c r="L138" s="51" t="s">
        <v>788</v>
      </c>
      <c r="M138" s="21"/>
      <c r="O138" s="314"/>
    </row>
    <row r="139" spans="3:15" ht="15.75" customHeight="1">
      <c r="C139" s="9" t="s">
        <v>90</v>
      </c>
      <c r="H139" s="40">
        <v>4.427</v>
      </c>
      <c r="I139" s="21"/>
      <c r="J139" s="51" t="s">
        <v>812</v>
      </c>
      <c r="K139" s="3"/>
      <c r="L139" s="40">
        <f>(H139+J139)</f>
        <v>4.427</v>
      </c>
      <c r="M139" s="21"/>
      <c r="O139" s="314"/>
    </row>
    <row r="140" spans="8:15" ht="15.75" customHeight="1">
      <c r="H140" s="14"/>
      <c r="J140" s="14"/>
      <c r="L140" s="14"/>
      <c r="O140" s="314"/>
    </row>
    <row r="141" spans="3:15" ht="15.75" customHeight="1">
      <c r="C141" s="9" t="s">
        <v>25</v>
      </c>
      <c r="H141" s="40">
        <v>37.027</v>
      </c>
      <c r="I141" s="21"/>
      <c r="J141" s="47" t="s">
        <v>601</v>
      </c>
      <c r="K141" s="27"/>
      <c r="L141" s="40">
        <f>(H141+J141)</f>
        <v>37.027</v>
      </c>
      <c r="M141" s="21"/>
      <c r="O141" s="314"/>
    </row>
    <row r="142" spans="3:15" ht="15.75" customHeight="1">
      <c r="C142" s="9" t="s">
        <v>26</v>
      </c>
      <c r="H142" s="40"/>
      <c r="I142" s="21"/>
      <c r="J142" s="40"/>
      <c r="K142" s="21"/>
      <c r="L142" s="40"/>
      <c r="M142" s="21"/>
      <c r="O142" s="314"/>
    </row>
    <row r="143" spans="3:15" ht="15.75" customHeight="1">
      <c r="C143" s="9" t="s">
        <v>852</v>
      </c>
      <c r="H143" s="40">
        <v>41.222</v>
      </c>
      <c r="I143" s="21"/>
      <c r="J143" s="47" t="s">
        <v>601</v>
      </c>
      <c r="K143" s="27"/>
      <c r="L143" s="40">
        <f>(H143+J143)</f>
        <v>41.222</v>
      </c>
      <c r="M143" s="21"/>
      <c r="O143" s="314"/>
    </row>
    <row r="144" spans="3:15" ht="15.75" customHeight="1">
      <c r="C144" s="9" t="s">
        <v>27</v>
      </c>
      <c r="H144" s="40">
        <v>10.286</v>
      </c>
      <c r="I144" s="21"/>
      <c r="J144" s="51">
        <v>-0.909</v>
      </c>
      <c r="K144" s="27"/>
      <c r="L144" s="40">
        <f>(H144+J144)</f>
        <v>9.376999999999999</v>
      </c>
      <c r="M144" s="21"/>
      <c r="O144" s="314"/>
    </row>
    <row r="145" spans="3:15" ht="15.75" customHeight="1">
      <c r="C145" s="9" t="s">
        <v>28</v>
      </c>
      <c r="H145" s="40">
        <v>171.31</v>
      </c>
      <c r="I145" s="21"/>
      <c r="J145" s="47" t="s">
        <v>601</v>
      </c>
      <c r="K145" s="27"/>
      <c r="L145" s="40">
        <f>(H145+J145)</f>
        <v>171.31</v>
      </c>
      <c r="M145" s="21"/>
      <c r="O145" s="314"/>
    </row>
    <row r="146" spans="3:15" ht="15.75" customHeight="1">
      <c r="C146" s="9" t="s">
        <v>30</v>
      </c>
      <c r="H146" s="40">
        <v>404.477</v>
      </c>
      <c r="I146" s="21"/>
      <c r="J146" s="51">
        <v>-11.149</v>
      </c>
      <c r="K146" s="27"/>
      <c r="L146" s="40">
        <f>(H146+J146)</f>
        <v>393.328</v>
      </c>
      <c r="M146" s="21"/>
      <c r="O146" s="314"/>
    </row>
    <row r="147" spans="8:15" ht="15.75" customHeight="1">
      <c r="H147" s="40"/>
      <c r="I147" s="21"/>
      <c r="J147" s="40"/>
      <c r="K147" s="21"/>
      <c r="L147" s="40"/>
      <c r="M147" s="21"/>
      <c r="O147" s="314"/>
    </row>
    <row r="148" spans="3:15" ht="15.75" customHeight="1">
      <c r="C148" s="9" t="s">
        <v>31</v>
      </c>
      <c r="H148" s="40">
        <v>5.71</v>
      </c>
      <c r="I148" s="21"/>
      <c r="J148" s="51" t="s">
        <v>812</v>
      </c>
      <c r="K148" s="3"/>
      <c r="L148" s="40">
        <f>(H148+J148)</f>
        <v>5.71</v>
      </c>
      <c r="M148" s="21"/>
      <c r="O148" s="314"/>
    </row>
    <row r="149" spans="3:15" ht="15.75" customHeight="1">
      <c r="C149" s="9"/>
      <c r="H149" s="40"/>
      <c r="I149" s="21"/>
      <c r="J149" s="51"/>
      <c r="K149" s="3"/>
      <c r="L149" s="40"/>
      <c r="M149" s="21"/>
      <c r="O149" s="314"/>
    </row>
    <row r="150" spans="3:15" ht="15.75" customHeight="1">
      <c r="C150" s="9" t="s">
        <v>853</v>
      </c>
      <c r="H150" s="40">
        <v>2.018</v>
      </c>
      <c r="I150" s="21"/>
      <c r="J150" s="47" t="s">
        <v>601</v>
      </c>
      <c r="K150" s="27"/>
      <c r="L150" s="40">
        <f>(H150+J150)</f>
        <v>2.018</v>
      </c>
      <c r="M150" s="21"/>
      <c r="O150" s="314"/>
    </row>
    <row r="151" spans="3:15" ht="15.75" customHeight="1">
      <c r="C151" s="9" t="s">
        <v>32</v>
      </c>
      <c r="H151" s="40">
        <v>1802.978</v>
      </c>
      <c r="I151" s="21"/>
      <c r="J151" s="47" t="s">
        <v>601</v>
      </c>
      <c r="K151" s="27"/>
      <c r="L151" s="40">
        <f>(H151+J151)</f>
        <v>1802.978</v>
      </c>
      <c r="M151" s="21"/>
      <c r="O151" s="314"/>
    </row>
    <row r="152" spans="3:15" ht="15.75" customHeight="1">
      <c r="C152" s="9" t="s">
        <v>286</v>
      </c>
      <c r="H152" s="40">
        <v>9.483</v>
      </c>
      <c r="I152" s="21"/>
      <c r="J152" s="47" t="s">
        <v>601</v>
      </c>
      <c r="K152" s="27"/>
      <c r="L152" s="40">
        <f>(H152+J152)</f>
        <v>9.483</v>
      </c>
      <c r="M152" s="21"/>
      <c r="O152" s="314"/>
    </row>
    <row r="153" spans="3:15" ht="15.75" customHeight="1">
      <c r="C153" s="9" t="s">
        <v>33</v>
      </c>
      <c r="H153" s="40">
        <v>36.805</v>
      </c>
      <c r="I153" s="21"/>
      <c r="J153" s="47" t="s">
        <v>601</v>
      </c>
      <c r="K153" s="27"/>
      <c r="L153" s="40">
        <f>(H153+J153)</f>
        <v>36.805</v>
      </c>
      <c r="M153" s="21"/>
      <c r="O153" s="314"/>
    </row>
    <row r="154" spans="3:15" ht="15.75" customHeight="1">
      <c r="C154" s="9" t="s">
        <v>854</v>
      </c>
      <c r="H154" s="51" t="s">
        <v>788</v>
      </c>
      <c r="I154" s="21"/>
      <c r="J154" s="47" t="s">
        <v>601</v>
      </c>
      <c r="K154" s="27"/>
      <c r="L154" s="51" t="s">
        <v>788</v>
      </c>
      <c r="M154" s="21"/>
      <c r="O154" s="314"/>
    </row>
    <row r="155" spans="3:15" ht="15.75" customHeight="1">
      <c r="C155" s="9" t="s">
        <v>362</v>
      </c>
      <c r="H155" s="40">
        <v>5.587</v>
      </c>
      <c r="I155" s="21"/>
      <c r="J155" s="47" t="s">
        <v>601</v>
      </c>
      <c r="K155" s="27"/>
      <c r="L155" s="40">
        <f>(H155+J155)</f>
        <v>5.587</v>
      </c>
      <c r="M155" s="21"/>
      <c r="O155" s="314"/>
    </row>
    <row r="156" spans="3:15" ht="15.75" customHeight="1">
      <c r="C156" s="9"/>
      <c r="H156" s="40"/>
      <c r="I156" s="21"/>
      <c r="J156" s="47"/>
      <c r="K156" s="27"/>
      <c r="L156" s="40"/>
      <c r="M156" s="21"/>
      <c r="O156" s="314"/>
    </row>
    <row r="157" spans="3:15" ht="15.75" customHeight="1">
      <c r="C157" s="9" t="s">
        <v>479</v>
      </c>
      <c r="H157" s="40">
        <v>10.014</v>
      </c>
      <c r="I157" s="21"/>
      <c r="J157" s="47" t="s">
        <v>601</v>
      </c>
      <c r="K157" s="27"/>
      <c r="L157" s="40">
        <f>(H157+J157)</f>
        <v>10.014</v>
      </c>
      <c r="M157" s="21"/>
      <c r="O157" s="314"/>
    </row>
    <row r="158" spans="3:15" ht="15.75" customHeight="1">
      <c r="C158" s="9" t="s">
        <v>37</v>
      </c>
      <c r="H158" s="40" t="s">
        <v>560</v>
      </c>
      <c r="I158" s="21"/>
      <c r="J158" s="40"/>
      <c r="K158" s="21"/>
      <c r="L158" s="40"/>
      <c r="M158" s="21"/>
      <c r="O158" s="314"/>
    </row>
    <row r="159" spans="3:15" ht="15.75" customHeight="1">
      <c r="C159" s="9" t="s">
        <v>855</v>
      </c>
      <c r="H159" s="40">
        <v>18.576</v>
      </c>
      <c r="I159" s="21"/>
      <c r="J159" s="47" t="s">
        <v>601</v>
      </c>
      <c r="K159" s="27"/>
      <c r="L159" s="40">
        <f>(H159+J159)</f>
        <v>18.576</v>
      </c>
      <c r="M159" s="21"/>
      <c r="O159" s="314"/>
    </row>
    <row r="160" spans="8:15" ht="15.75" customHeight="1">
      <c r="H160" s="40"/>
      <c r="I160" s="21"/>
      <c r="J160" s="40"/>
      <c r="K160" s="21"/>
      <c r="L160" s="40"/>
      <c r="M160" s="21"/>
      <c r="O160" s="314"/>
    </row>
    <row r="161" spans="3:15" ht="15.75" customHeight="1">
      <c r="C161" s="9" t="s">
        <v>3</v>
      </c>
      <c r="H161" s="40">
        <v>13.81</v>
      </c>
      <c r="I161" s="21"/>
      <c r="J161" s="47" t="s">
        <v>601</v>
      </c>
      <c r="K161" s="27"/>
      <c r="L161" s="40">
        <f aca="true" t="shared" si="4" ref="L161:L169">(H161+J161)</f>
        <v>13.81</v>
      </c>
      <c r="M161" s="21"/>
      <c r="O161" s="314"/>
    </row>
    <row r="162" spans="3:15" ht="15.75" customHeight="1">
      <c r="C162" s="9" t="s">
        <v>4</v>
      </c>
      <c r="H162" s="40">
        <v>4797.089</v>
      </c>
      <c r="I162" s="21"/>
      <c r="J162" s="47" t="s">
        <v>601</v>
      </c>
      <c r="K162" s="27"/>
      <c r="L162" s="40">
        <f t="shared" si="4"/>
        <v>4797.089</v>
      </c>
      <c r="M162" s="21"/>
      <c r="O162" s="314"/>
    </row>
    <row r="163" spans="3:15" ht="15.75" customHeight="1">
      <c r="C163" s="9" t="s">
        <v>557</v>
      </c>
      <c r="H163" s="40">
        <v>3.42</v>
      </c>
      <c r="I163" s="21"/>
      <c r="J163" s="47" t="s">
        <v>601</v>
      </c>
      <c r="K163" s="27"/>
      <c r="L163" s="40">
        <f t="shared" si="4"/>
        <v>3.42</v>
      </c>
      <c r="M163" s="21"/>
      <c r="O163" s="314"/>
    </row>
    <row r="164" spans="3:15" ht="15.75" customHeight="1">
      <c r="C164" s="9" t="s">
        <v>856</v>
      </c>
      <c r="H164" s="51">
        <v>11.48</v>
      </c>
      <c r="I164" s="21"/>
      <c r="J164" s="47" t="s">
        <v>601</v>
      </c>
      <c r="K164" s="27"/>
      <c r="L164" s="40">
        <f t="shared" si="4"/>
        <v>11.48</v>
      </c>
      <c r="M164" s="21"/>
      <c r="O164" s="314"/>
    </row>
    <row r="165" spans="3:15" ht="15.75" customHeight="1">
      <c r="C165" s="9" t="s">
        <v>6</v>
      </c>
      <c r="H165" s="40">
        <v>15.055</v>
      </c>
      <c r="I165" s="21"/>
      <c r="J165" s="47" t="s">
        <v>601</v>
      </c>
      <c r="K165" s="27"/>
      <c r="L165" s="40">
        <f>(H165+J165)</f>
        <v>15.055</v>
      </c>
      <c r="M165" s="21"/>
      <c r="O165" s="314"/>
    </row>
    <row r="166" spans="3:15" ht="15.75" customHeight="1">
      <c r="C166" s="9" t="s">
        <v>20</v>
      </c>
      <c r="H166" s="40">
        <v>38.029</v>
      </c>
      <c r="I166" s="21"/>
      <c r="J166" s="47" t="s">
        <v>601</v>
      </c>
      <c r="K166" s="27"/>
      <c r="L166" s="40">
        <f t="shared" si="4"/>
        <v>38.029</v>
      </c>
      <c r="M166" s="21"/>
      <c r="O166" s="314"/>
    </row>
    <row r="167" spans="3:15" ht="15.75" customHeight="1">
      <c r="C167" s="9" t="s">
        <v>21</v>
      </c>
      <c r="H167" s="40">
        <v>22724.761</v>
      </c>
      <c r="I167" s="21"/>
      <c r="J167" s="51">
        <v>-11164.196</v>
      </c>
      <c r="K167" s="27"/>
      <c r="L167" s="40">
        <f t="shared" si="4"/>
        <v>11560.564999999999</v>
      </c>
      <c r="M167" s="21"/>
      <c r="O167" s="314"/>
    </row>
    <row r="168" spans="3:15" ht="15.75" customHeight="1">
      <c r="C168" s="9" t="s">
        <v>22</v>
      </c>
      <c r="H168" s="40">
        <v>259.485</v>
      </c>
      <c r="I168" s="21"/>
      <c r="J168" s="51">
        <v>-2.465</v>
      </c>
      <c r="K168" s="27"/>
      <c r="L168" s="40">
        <f>(H168+J168)</f>
        <v>257.02000000000004</v>
      </c>
      <c r="M168" s="21"/>
      <c r="O168" s="314"/>
    </row>
    <row r="169" spans="3:15" ht="15.75" customHeight="1">
      <c r="C169" s="9" t="s">
        <v>857</v>
      </c>
      <c r="H169" s="40">
        <v>36.253</v>
      </c>
      <c r="I169" s="21"/>
      <c r="J169" s="47" t="s">
        <v>601</v>
      </c>
      <c r="K169" s="27"/>
      <c r="L169" s="40">
        <f t="shared" si="4"/>
        <v>36.253</v>
      </c>
      <c r="M169" s="21"/>
      <c r="O169" s="314"/>
    </row>
    <row r="170" spans="3:15" ht="15.75" customHeight="1">
      <c r="C170" s="9" t="s">
        <v>38</v>
      </c>
      <c r="H170" s="40"/>
      <c r="I170" s="21"/>
      <c r="J170" s="40"/>
      <c r="K170" s="21"/>
      <c r="L170" s="40"/>
      <c r="M170" s="21"/>
      <c r="O170" s="314"/>
    </row>
    <row r="171" spans="3:15" ht="15.75" customHeight="1">
      <c r="C171" s="9" t="s">
        <v>858</v>
      </c>
      <c r="H171" s="40">
        <v>147.54</v>
      </c>
      <c r="I171" s="21"/>
      <c r="J171" s="47" t="s">
        <v>601</v>
      </c>
      <c r="K171" s="27"/>
      <c r="L171" s="40">
        <f>(H171+J171)</f>
        <v>147.54</v>
      </c>
      <c r="M171" s="21"/>
      <c r="O171" s="314"/>
    </row>
    <row r="172" spans="3:15" ht="15.75" customHeight="1">
      <c r="C172" s="9" t="s">
        <v>59</v>
      </c>
      <c r="H172" s="40">
        <v>21957.776</v>
      </c>
      <c r="I172" s="21"/>
      <c r="J172" s="40">
        <v>-635.519</v>
      </c>
      <c r="K172" s="21"/>
      <c r="L172" s="40">
        <f>(H172+J172)</f>
        <v>21322.257</v>
      </c>
      <c r="M172" s="21"/>
      <c r="O172" s="314"/>
    </row>
    <row r="173" spans="8:15" ht="15.75" customHeight="1">
      <c r="H173" s="40"/>
      <c r="I173" s="21"/>
      <c r="J173" s="40"/>
      <c r="K173" s="21"/>
      <c r="L173" s="40"/>
      <c r="M173" s="21"/>
      <c r="O173" s="314"/>
    </row>
    <row r="174" spans="3:15" ht="15.75" customHeight="1">
      <c r="C174" s="9" t="s">
        <v>60</v>
      </c>
      <c r="H174" s="40">
        <v>1066.802</v>
      </c>
      <c r="I174" s="21"/>
      <c r="J174" s="51" t="s">
        <v>812</v>
      </c>
      <c r="K174" s="3"/>
      <c r="L174" s="40">
        <f>(H174+J174)-1</f>
        <v>1065.802</v>
      </c>
      <c r="M174" s="21"/>
      <c r="O174" s="314"/>
    </row>
    <row r="175" spans="3:15" ht="15.75" customHeight="1">
      <c r="C175" s="9" t="s">
        <v>764</v>
      </c>
      <c r="H175" s="51" t="s">
        <v>788</v>
      </c>
      <c r="I175" s="21"/>
      <c r="J175" s="47" t="s">
        <v>601</v>
      </c>
      <c r="K175" s="27"/>
      <c r="L175" s="51" t="s">
        <v>788</v>
      </c>
      <c r="M175" s="21"/>
      <c r="O175" s="314"/>
    </row>
    <row r="176" spans="3:15" ht="15.75" customHeight="1">
      <c r="C176" s="9" t="s">
        <v>62</v>
      </c>
      <c r="H176" s="51" t="s">
        <v>788</v>
      </c>
      <c r="I176" s="21"/>
      <c r="J176" s="47" t="s">
        <v>601</v>
      </c>
      <c r="K176" s="27"/>
      <c r="L176" s="51" t="s">
        <v>788</v>
      </c>
      <c r="M176" s="21"/>
      <c r="O176" s="314"/>
    </row>
    <row r="177" spans="3:15" ht="15.75" customHeight="1">
      <c r="C177" s="9" t="s">
        <v>63</v>
      </c>
      <c r="H177" s="51">
        <v>18.685</v>
      </c>
      <c r="I177" s="21"/>
      <c r="J177" s="47" t="s">
        <v>601</v>
      </c>
      <c r="K177" s="27"/>
      <c r="L177" s="40">
        <f>(H177+J177)</f>
        <v>18.685</v>
      </c>
      <c r="M177" s="21"/>
      <c r="O177" s="314"/>
    </row>
    <row r="178" spans="3:15" ht="15.75" customHeight="1">
      <c r="C178" s="9" t="s">
        <v>859</v>
      </c>
      <c r="H178" s="40">
        <v>26.498</v>
      </c>
      <c r="I178" s="21"/>
      <c r="J178" s="47" t="s">
        <v>601</v>
      </c>
      <c r="K178" s="27"/>
      <c r="L178" s="40">
        <f>(H178+J178)</f>
        <v>26.498</v>
      </c>
      <c r="M178" s="21"/>
      <c r="O178" s="314"/>
    </row>
    <row r="179" spans="3:15" ht="15.75" customHeight="1">
      <c r="C179" s="9" t="s">
        <v>64</v>
      </c>
      <c r="H179" s="40"/>
      <c r="I179" s="21"/>
      <c r="J179" s="40"/>
      <c r="K179" s="21"/>
      <c r="L179" s="40"/>
      <c r="M179" s="21"/>
      <c r="O179" s="314"/>
    </row>
    <row r="180" spans="3:15" ht="15.75" customHeight="1">
      <c r="C180" s="9" t="s">
        <v>860</v>
      </c>
      <c r="H180" s="40">
        <v>3417.003</v>
      </c>
      <c r="I180" s="21"/>
      <c r="J180" s="40">
        <v>-79.754</v>
      </c>
      <c r="K180" s="21"/>
      <c r="L180" s="40">
        <f>(H180+J180)</f>
        <v>3337.2490000000003</v>
      </c>
      <c r="M180" s="21"/>
      <c r="O180" s="314"/>
    </row>
    <row r="181" spans="3:15" ht="15.75" customHeight="1">
      <c r="C181" s="9"/>
      <c r="H181" s="40"/>
      <c r="I181" s="21"/>
      <c r="J181" s="40"/>
      <c r="K181" s="21"/>
      <c r="L181" s="40"/>
      <c r="M181" s="21"/>
      <c r="O181" s="314"/>
    </row>
    <row r="182" spans="3:15" ht="15.75" customHeight="1">
      <c r="C182" s="9" t="s">
        <v>65</v>
      </c>
      <c r="H182" s="40">
        <v>73.943</v>
      </c>
      <c r="I182" s="21"/>
      <c r="J182" s="47" t="s">
        <v>601</v>
      </c>
      <c r="K182" s="27"/>
      <c r="L182" s="40">
        <f aca="true" t="shared" si="5" ref="L182:L187">(H182+J182)</f>
        <v>73.943</v>
      </c>
      <c r="M182" s="21"/>
      <c r="O182" s="314"/>
    </row>
    <row r="183" spans="3:15" ht="15.75" customHeight="1">
      <c r="C183" s="9" t="s">
        <v>542</v>
      </c>
      <c r="H183" s="40">
        <v>3.626</v>
      </c>
      <c r="I183" s="21"/>
      <c r="J183" s="47" t="s">
        <v>601</v>
      </c>
      <c r="K183" s="27"/>
      <c r="L183" s="40">
        <f t="shared" si="5"/>
        <v>3.626</v>
      </c>
      <c r="M183" s="21"/>
      <c r="O183" s="314"/>
    </row>
    <row r="184" spans="3:15" ht="15.75" customHeight="1">
      <c r="C184" s="9" t="s">
        <v>861</v>
      </c>
      <c r="H184" s="51" t="s">
        <v>788</v>
      </c>
      <c r="I184" s="21"/>
      <c r="J184" s="47" t="s">
        <v>601</v>
      </c>
      <c r="K184" s="27"/>
      <c r="L184" s="51" t="s">
        <v>788</v>
      </c>
      <c r="M184" s="21"/>
      <c r="O184" s="314"/>
    </row>
    <row r="185" spans="3:15" ht="15.75" customHeight="1">
      <c r="C185" s="9" t="s">
        <v>66</v>
      </c>
      <c r="H185" s="40">
        <v>553.73</v>
      </c>
      <c r="I185" s="21"/>
      <c r="J185" s="51" t="s">
        <v>812</v>
      </c>
      <c r="K185" s="3"/>
      <c r="L185" s="40">
        <f>(H185+J185)-1</f>
        <v>552.73</v>
      </c>
      <c r="M185" s="21"/>
      <c r="O185" s="314"/>
    </row>
    <row r="186" spans="3:15" ht="15.75" customHeight="1">
      <c r="C186" s="9" t="s">
        <v>72</v>
      </c>
      <c r="H186" s="40">
        <v>25354.296</v>
      </c>
      <c r="I186" s="21"/>
      <c r="J186" s="40">
        <v>-11252.399</v>
      </c>
      <c r="K186" s="21"/>
      <c r="L186" s="40">
        <f t="shared" si="5"/>
        <v>14101.896999999999</v>
      </c>
      <c r="M186" s="21"/>
      <c r="O186" s="314"/>
    </row>
    <row r="187" spans="3:15" ht="15.75" customHeight="1">
      <c r="C187" s="9" t="s">
        <v>87</v>
      </c>
      <c r="H187" s="40">
        <v>2.5</v>
      </c>
      <c r="I187" s="21"/>
      <c r="J187" s="47" t="s">
        <v>601</v>
      </c>
      <c r="K187" s="27"/>
      <c r="L187" s="40">
        <f t="shared" si="5"/>
        <v>2.5</v>
      </c>
      <c r="M187" s="21"/>
      <c r="O187" s="314"/>
    </row>
    <row r="188" spans="3:15" ht="15.75" customHeight="1">
      <c r="C188" s="9" t="s">
        <v>332</v>
      </c>
      <c r="H188" s="40">
        <v>415.6</v>
      </c>
      <c r="I188" s="21"/>
      <c r="J188" s="47" t="s">
        <v>601</v>
      </c>
      <c r="K188" s="27"/>
      <c r="L188" s="40">
        <f>(H188-J188)</f>
        <v>415.6</v>
      </c>
      <c r="M188" s="21"/>
      <c r="O188" s="314"/>
    </row>
    <row r="189" spans="3:15" ht="15.75" customHeight="1">
      <c r="C189" s="9" t="s">
        <v>862</v>
      </c>
      <c r="H189" s="40">
        <v>41.177</v>
      </c>
      <c r="I189" s="21"/>
      <c r="J189" s="47" t="s">
        <v>601</v>
      </c>
      <c r="K189" s="27"/>
      <c r="L189" s="40">
        <f>(H189-J189)</f>
        <v>41.177</v>
      </c>
      <c r="M189" s="21"/>
      <c r="O189" s="314"/>
    </row>
    <row r="190" spans="3:15" ht="15.75" customHeight="1">
      <c r="C190" s="9" t="s">
        <v>576</v>
      </c>
      <c r="H190" s="51" t="s">
        <v>788</v>
      </c>
      <c r="I190" s="21"/>
      <c r="J190" s="47" t="s">
        <v>601</v>
      </c>
      <c r="K190" s="27"/>
      <c r="L190" s="51" t="s">
        <v>788</v>
      </c>
      <c r="M190" s="21"/>
      <c r="O190" s="314"/>
    </row>
    <row r="191" spans="3:15" ht="15.75" customHeight="1">
      <c r="C191" s="9" t="s">
        <v>577</v>
      </c>
      <c r="H191" s="51">
        <v>81.5</v>
      </c>
      <c r="I191" s="21"/>
      <c r="J191" s="47" t="s">
        <v>601</v>
      </c>
      <c r="K191" s="27"/>
      <c r="L191" s="40">
        <f>(H191-J191)</f>
        <v>81.5</v>
      </c>
      <c r="M191" s="21"/>
      <c r="O191" s="314"/>
    </row>
    <row r="192" spans="3:15" ht="15.75" customHeight="1">
      <c r="C192" s="9" t="s">
        <v>863</v>
      </c>
      <c r="H192" s="51">
        <v>154.7</v>
      </c>
      <c r="I192" s="21"/>
      <c r="J192" s="47" t="s">
        <v>601</v>
      </c>
      <c r="K192" s="27"/>
      <c r="L192" s="40">
        <f>(H192-J192)</f>
        <v>154.7</v>
      </c>
      <c r="M192" s="21"/>
      <c r="O192" s="314"/>
    </row>
    <row r="193" spans="3:15" ht="15.75" customHeight="1">
      <c r="C193" s="9" t="s">
        <v>75</v>
      </c>
      <c r="H193" s="51"/>
      <c r="I193" s="21"/>
      <c r="J193" s="47"/>
      <c r="K193" s="27"/>
      <c r="L193" s="40"/>
      <c r="M193" s="21"/>
      <c r="O193" s="314"/>
    </row>
    <row r="194" spans="3:15" ht="15.75" customHeight="1">
      <c r="C194" s="9" t="s">
        <v>864</v>
      </c>
      <c r="H194" s="51">
        <v>3</v>
      </c>
      <c r="I194" s="21"/>
      <c r="J194" s="47" t="s">
        <v>601</v>
      </c>
      <c r="K194" s="27"/>
      <c r="L194" s="40">
        <f>(H194-J194)</f>
        <v>3</v>
      </c>
      <c r="M194" s="21"/>
      <c r="O194" s="314"/>
    </row>
    <row r="195" spans="3:15" ht="15.75" customHeight="1">
      <c r="C195" s="9"/>
      <c r="H195" s="51"/>
      <c r="I195" s="21"/>
      <c r="J195" s="47"/>
      <c r="K195" s="27"/>
      <c r="L195" s="40"/>
      <c r="M195" s="21"/>
      <c r="O195" s="314"/>
    </row>
    <row r="196" spans="3:15" ht="15.75" customHeight="1">
      <c r="C196" s="9" t="s">
        <v>865</v>
      </c>
      <c r="H196" s="40">
        <v>26574.406</v>
      </c>
      <c r="I196" s="21"/>
      <c r="J196" s="40">
        <v>-1551.241</v>
      </c>
      <c r="K196" s="21"/>
      <c r="L196" s="40">
        <f>(H196+J196)</f>
        <v>25023.165</v>
      </c>
      <c r="M196" s="21"/>
      <c r="O196" s="314"/>
    </row>
    <row r="197" spans="3:15" ht="15.75" customHeight="1">
      <c r="C197" s="9" t="s">
        <v>866</v>
      </c>
      <c r="H197" s="40">
        <v>68.795</v>
      </c>
      <c r="I197" s="21"/>
      <c r="J197" s="47" t="s">
        <v>601</v>
      </c>
      <c r="K197" s="27"/>
      <c r="L197" s="40">
        <f>(H197+J197)</f>
        <v>68.795</v>
      </c>
      <c r="M197" s="21"/>
      <c r="O197" s="314"/>
    </row>
    <row r="198" spans="3:15" ht="15.75" customHeight="1">
      <c r="C198" s="9" t="s">
        <v>76</v>
      </c>
      <c r="H198" s="40"/>
      <c r="I198" s="21"/>
      <c r="J198" s="47"/>
      <c r="K198" s="27"/>
      <c r="L198" s="40"/>
      <c r="M198" s="21"/>
      <c r="O198" s="314"/>
    </row>
    <row r="199" spans="3:15" ht="15.75" customHeight="1">
      <c r="C199" s="9" t="s">
        <v>867</v>
      </c>
      <c r="H199" s="40">
        <v>59.918</v>
      </c>
      <c r="I199" s="21"/>
      <c r="J199" s="47" t="s">
        <v>601</v>
      </c>
      <c r="K199" s="27"/>
      <c r="L199" s="40">
        <f>(H199+J199)</f>
        <v>59.918</v>
      </c>
      <c r="M199" s="21"/>
      <c r="O199" s="314"/>
    </row>
    <row r="200" spans="3:15" ht="15.75" customHeight="1">
      <c r="C200" s="9" t="s">
        <v>77</v>
      </c>
      <c r="H200" s="40"/>
      <c r="I200" s="21"/>
      <c r="J200" s="47"/>
      <c r="K200" s="27"/>
      <c r="L200" s="40"/>
      <c r="M200" s="21"/>
      <c r="O200" s="314"/>
    </row>
    <row r="201" spans="3:15" ht="15.75" customHeight="1">
      <c r="C201" s="9" t="s">
        <v>868</v>
      </c>
      <c r="H201" s="51">
        <v>5.493</v>
      </c>
      <c r="I201" s="21"/>
      <c r="J201" s="47" t="s">
        <v>601</v>
      </c>
      <c r="K201" s="27"/>
      <c r="L201" s="40">
        <f>(H201+J201)</f>
        <v>5.493</v>
      </c>
      <c r="M201" s="21"/>
      <c r="O201" s="314"/>
    </row>
    <row r="202" spans="3:15" ht="15.75" customHeight="1">
      <c r="C202" s="9" t="s">
        <v>819</v>
      </c>
      <c r="H202" s="51"/>
      <c r="I202" s="21"/>
      <c r="J202" s="47"/>
      <c r="K202" s="27"/>
      <c r="L202" s="40"/>
      <c r="M202" s="21"/>
      <c r="O202" s="314"/>
    </row>
    <row r="203" spans="3:15" ht="15.75" customHeight="1">
      <c r="C203" s="9" t="s">
        <v>333</v>
      </c>
      <c r="H203" s="51">
        <v>16.01</v>
      </c>
      <c r="I203" s="21"/>
      <c r="J203" s="47" t="s">
        <v>601</v>
      </c>
      <c r="K203" s="27"/>
      <c r="L203" s="40">
        <f>(H203+J203)</f>
        <v>16.01</v>
      </c>
      <c r="M203" s="21"/>
      <c r="O203" s="314"/>
    </row>
    <row r="204" spans="3:15" ht="15.75" customHeight="1">
      <c r="C204" s="9" t="s">
        <v>869</v>
      </c>
      <c r="H204" s="40">
        <v>3</v>
      </c>
      <c r="I204" s="21"/>
      <c r="J204" s="47" t="s">
        <v>601</v>
      </c>
      <c r="K204" s="27"/>
      <c r="L204" s="40">
        <f>(H204+J204)</f>
        <v>3</v>
      </c>
      <c r="M204" s="21"/>
      <c r="O204" s="314"/>
    </row>
    <row r="205" spans="3:13" s="102" customFormat="1" ht="15.75" customHeight="1" thickBot="1">
      <c r="C205" s="104"/>
      <c r="H205" s="174"/>
      <c r="I205" s="105"/>
      <c r="J205" s="106"/>
      <c r="K205" s="106"/>
      <c r="L205" s="105"/>
      <c r="M205" s="105"/>
    </row>
    <row r="206" spans="1:13" ht="16.5" customHeight="1" thickTop="1">
      <c r="A206" s="59"/>
      <c r="B206" s="2" t="str">
        <f>(Marketable!B85)</f>
        <v>TABLE III - DETAIL OF TREASURY SECURITIES OUTSTANDING, MARCH 31, 2002 -- Continued</v>
      </c>
      <c r="C206" s="2"/>
      <c r="D206" s="2"/>
      <c r="E206" s="3"/>
      <c r="F206" s="3"/>
      <c r="G206" s="3"/>
      <c r="H206" s="3"/>
      <c r="I206" s="29"/>
      <c r="J206" s="3"/>
      <c r="K206" s="3"/>
      <c r="L206" s="3"/>
      <c r="M206" s="101">
        <v>9</v>
      </c>
    </row>
    <row r="207" spans="1:13" ht="10.5" customHeight="1" thickBot="1">
      <c r="A207" s="59"/>
      <c r="B207" s="59"/>
      <c r="C207" s="7"/>
      <c r="D207" s="2"/>
      <c r="E207" s="3"/>
      <c r="F207" s="3"/>
      <c r="G207" s="3"/>
      <c r="H207" s="3"/>
      <c r="I207" s="29"/>
      <c r="J207" s="3"/>
      <c r="K207" s="3"/>
      <c r="L207" s="3"/>
      <c r="M207" s="58"/>
    </row>
    <row r="208" spans="1:13" ht="15.75" customHeight="1" thickTop="1">
      <c r="A208" s="32"/>
      <c r="B208" s="32"/>
      <c r="C208" s="32"/>
      <c r="D208" s="32"/>
      <c r="E208" s="32"/>
      <c r="F208" s="32"/>
      <c r="G208" s="32"/>
      <c r="H208" s="26"/>
      <c r="I208" s="32"/>
      <c r="J208" s="32"/>
      <c r="K208" s="32"/>
      <c r="L208" s="32"/>
      <c r="M208" s="32"/>
    </row>
    <row r="209" spans="8:13" ht="15.75" customHeight="1">
      <c r="H209" s="16" t="s">
        <v>590</v>
      </c>
      <c r="I209" s="3"/>
      <c r="J209" s="3"/>
      <c r="K209" s="3"/>
      <c r="L209" s="3"/>
      <c r="M209" s="3"/>
    </row>
    <row r="210" spans="1:13" ht="15.75" customHeight="1">
      <c r="A210" s="3" t="s">
        <v>591</v>
      </c>
      <c r="B210" s="3"/>
      <c r="C210" s="3"/>
      <c r="D210" s="3"/>
      <c r="E210" s="3"/>
      <c r="F210" s="3"/>
      <c r="G210" s="3"/>
      <c r="H210" s="16" t="s">
        <v>560</v>
      </c>
      <c r="I210" s="3"/>
      <c r="J210" s="3"/>
      <c r="K210" s="3"/>
      <c r="L210" s="3"/>
      <c r="M210" s="3"/>
    </row>
    <row r="211" spans="1:13" ht="16.5" customHeight="1">
      <c r="A211" s="15"/>
      <c r="B211" s="15"/>
      <c r="C211" s="15"/>
      <c r="D211" s="15"/>
      <c r="E211" s="15"/>
      <c r="F211" s="15"/>
      <c r="G211" s="15"/>
      <c r="H211" s="37" t="s">
        <v>595</v>
      </c>
      <c r="I211" s="38"/>
      <c r="J211" s="37" t="s">
        <v>596</v>
      </c>
      <c r="K211" s="38"/>
      <c r="L211" s="37" t="s">
        <v>563</v>
      </c>
      <c r="M211" s="38"/>
    </row>
    <row r="212" spans="8:12" ht="15.75" customHeight="1">
      <c r="H212" s="14"/>
      <c r="J212" s="14"/>
      <c r="L212" s="14"/>
    </row>
    <row r="213" spans="2:12" ht="18" customHeight="1">
      <c r="B213" s="7" t="s">
        <v>766</v>
      </c>
      <c r="E213" s="43"/>
      <c r="H213" s="14"/>
      <c r="J213" s="14"/>
      <c r="L213" s="14"/>
    </row>
    <row r="214" spans="2:15" ht="18" customHeight="1">
      <c r="B214" s="78" t="s">
        <v>469</v>
      </c>
      <c r="E214" s="43"/>
      <c r="H214" s="14"/>
      <c r="J214" s="14"/>
      <c r="L214" s="14"/>
      <c r="O214" s="314"/>
    </row>
    <row r="215" spans="3:15" ht="15.75" customHeight="1">
      <c r="C215" s="9" t="s">
        <v>470</v>
      </c>
      <c r="H215" s="40"/>
      <c r="I215" s="21"/>
      <c r="J215" s="47"/>
      <c r="K215" s="27"/>
      <c r="L215" s="40"/>
      <c r="M215" s="21"/>
      <c r="O215" s="314"/>
    </row>
    <row r="216" spans="3:15" ht="15.75" customHeight="1">
      <c r="C216" s="9" t="s">
        <v>91</v>
      </c>
      <c r="H216" s="40">
        <v>2.013</v>
      </c>
      <c r="I216" s="21"/>
      <c r="J216" s="47" t="s">
        <v>601</v>
      </c>
      <c r="K216" s="27"/>
      <c r="L216" s="40">
        <f>(H216+J216)</f>
        <v>2.013</v>
      </c>
      <c r="M216" s="21"/>
      <c r="O216" s="314"/>
    </row>
    <row r="217" spans="3:15" ht="15.75" customHeight="1">
      <c r="C217" s="9" t="s">
        <v>870</v>
      </c>
      <c r="H217" s="40">
        <v>19.487</v>
      </c>
      <c r="I217" s="21"/>
      <c r="J217" s="47" t="s">
        <v>601</v>
      </c>
      <c r="K217" s="27"/>
      <c r="L217" s="40">
        <f>(H217+J217)</f>
        <v>19.487</v>
      </c>
      <c r="M217" s="21"/>
      <c r="O217" s="314"/>
    </row>
    <row r="218" spans="3:15" ht="15.75" customHeight="1">
      <c r="C218" s="9" t="s">
        <v>871</v>
      </c>
      <c r="H218" s="40">
        <v>92.029</v>
      </c>
      <c r="I218" s="21"/>
      <c r="J218" s="47" t="s">
        <v>601</v>
      </c>
      <c r="K218" s="27"/>
      <c r="L218" s="40">
        <f>(H218+J218)</f>
        <v>92.029</v>
      </c>
      <c r="M218" s="21"/>
      <c r="O218" s="314"/>
    </row>
    <row r="219" spans="3:15" ht="15.75" customHeight="1">
      <c r="C219" s="9" t="s">
        <v>480</v>
      </c>
      <c r="H219" s="40">
        <v>19.126</v>
      </c>
      <c r="I219" s="21"/>
      <c r="J219" s="47" t="s">
        <v>601</v>
      </c>
      <c r="K219" s="27"/>
      <c r="L219" s="40">
        <f>(H219+J219)</f>
        <v>19.126</v>
      </c>
      <c r="M219" s="21"/>
      <c r="O219" s="314"/>
    </row>
    <row r="220" spans="8:15" ht="15.75" customHeight="1">
      <c r="H220" s="40"/>
      <c r="I220" s="21"/>
      <c r="J220" s="40"/>
      <c r="K220" s="21"/>
      <c r="L220" s="40"/>
      <c r="M220" s="21"/>
      <c r="O220" s="314"/>
    </row>
    <row r="221" spans="3:15" ht="15.75" customHeight="1">
      <c r="C221" s="9" t="s">
        <v>872</v>
      </c>
      <c r="H221" s="40">
        <v>35.159</v>
      </c>
      <c r="I221" s="21"/>
      <c r="J221" s="47" t="s">
        <v>601</v>
      </c>
      <c r="K221" s="27"/>
      <c r="L221" s="40">
        <f>(H221+J221)</f>
        <v>35.159</v>
      </c>
      <c r="M221" s="21"/>
      <c r="O221" s="314"/>
    </row>
    <row r="222" spans="3:15" ht="15.75" customHeight="1">
      <c r="C222" s="9" t="s">
        <v>78</v>
      </c>
      <c r="H222" s="40">
        <v>11193.417</v>
      </c>
      <c r="I222" s="21"/>
      <c r="J222" s="40">
        <v>-660</v>
      </c>
      <c r="K222" s="27"/>
      <c r="L222" s="40">
        <f>(H222+J222)</f>
        <v>10533.417</v>
      </c>
      <c r="M222" s="21"/>
      <c r="O222" s="314"/>
    </row>
    <row r="223" spans="3:15" ht="15.75" customHeight="1">
      <c r="C223" s="9" t="s">
        <v>79</v>
      </c>
      <c r="H223" s="40"/>
      <c r="I223" s="21"/>
      <c r="J223" s="40"/>
      <c r="K223" s="21"/>
      <c r="L223" s="40"/>
      <c r="M223" s="21"/>
      <c r="O223" s="314"/>
    </row>
    <row r="224" spans="3:15" ht="15.75" customHeight="1">
      <c r="C224" s="9" t="s">
        <v>873</v>
      </c>
      <c r="H224" s="40">
        <v>13.224</v>
      </c>
      <c r="I224" s="21"/>
      <c r="J224" s="47" t="s">
        <v>601</v>
      </c>
      <c r="K224" s="27"/>
      <c r="L224" s="40">
        <f>(H224-J224)</f>
        <v>13.224</v>
      </c>
      <c r="M224" s="21"/>
      <c r="O224" s="314"/>
    </row>
    <row r="225" spans="3:15" ht="15.75" customHeight="1">
      <c r="C225" s="9" t="s">
        <v>383</v>
      </c>
      <c r="H225" s="40">
        <v>245.674</v>
      </c>
      <c r="I225" s="21"/>
      <c r="J225" s="47" t="s">
        <v>601</v>
      </c>
      <c r="K225" s="27"/>
      <c r="L225" s="40">
        <f>(H225-J225)</f>
        <v>245.674</v>
      </c>
      <c r="M225" s="21"/>
      <c r="O225" s="314"/>
    </row>
    <row r="226" spans="3:15" ht="15.75" customHeight="1">
      <c r="C226" s="9" t="s">
        <v>81</v>
      </c>
      <c r="H226" s="51">
        <v>6.051</v>
      </c>
      <c r="I226" s="21"/>
      <c r="J226" s="47" t="s">
        <v>601</v>
      </c>
      <c r="K226" s="27"/>
      <c r="L226" s="40">
        <f>(H226-J226)</f>
        <v>6.051</v>
      </c>
      <c r="M226" s="21"/>
      <c r="O226" s="314"/>
    </row>
    <row r="227" spans="3:15" ht="15.75" customHeight="1">
      <c r="C227" s="9" t="s">
        <v>24</v>
      </c>
      <c r="H227" s="40">
        <v>2304.139</v>
      </c>
      <c r="I227" s="21"/>
      <c r="J227" s="40">
        <v>-452.581</v>
      </c>
      <c r="K227" s="21"/>
      <c r="L227" s="40">
        <f>(H227+J227)</f>
        <v>1851.558</v>
      </c>
      <c r="M227" s="21"/>
      <c r="O227" s="314"/>
    </row>
    <row r="228" spans="3:15" ht="15.75" customHeight="1">
      <c r="C228" s="9" t="s">
        <v>874</v>
      </c>
      <c r="H228" s="51">
        <v>42.054</v>
      </c>
      <c r="I228" s="21"/>
      <c r="J228" s="47" t="s">
        <v>601</v>
      </c>
      <c r="K228" s="27"/>
      <c r="L228" s="40">
        <f>(H228+J228)</f>
        <v>42.054</v>
      </c>
      <c r="M228" s="21"/>
      <c r="O228" s="314"/>
    </row>
    <row r="229" spans="3:15" ht="15.75" customHeight="1">
      <c r="C229" s="9" t="s">
        <v>875</v>
      </c>
      <c r="H229" s="51">
        <v>117.693</v>
      </c>
      <c r="I229" s="21"/>
      <c r="J229" s="47" t="s">
        <v>601</v>
      </c>
      <c r="K229" s="27"/>
      <c r="L229" s="40">
        <f>(H229+J229)</f>
        <v>117.693</v>
      </c>
      <c r="M229" s="21"/>
      <c r="O229" s="314"/>
    </row>
    <row r="230" spans="3:15" ht="15.75" customHeight="1">
      <c r="C230" s="9"/>
      <c r="H230" s="40"/>
      <c r="I230" s="21"/>
      <c r="J230" s="47"/>
      <c r="K230" s="27"/>
      <c r="L230" s="40"/>
      <c r="M230" s="21"/>
      <c r="O230" s="314"/>
    </row>
    <row r="231" spans="3:15" ht="15.75" customHeight="1">
      <c r="C231" s="9" t="s">
        <v>86</v>
      </c>
      <c r="H231" s="40">
        <v>7.21</v>
      </c>
      <c r="I231" s="21"/>
      <c r="J231" s="47" t="s">
        <v>601</v>
      </c>
      <c r="K231" s="27"/>
      <c r="L231" s="40">
        <f aca="true" t="shared" si="6" ref="L231:L236">(H231+J231)</f>
        <v>7.21</v>
      </c>
      <c r="M231" s="21"/>
      <c r="O231" s="314"/>
    </row>
    <row r="232" spans="3:15" ht="15.75" customHeight="1">
      <c r="C232" s="9" t="s">
        <v>88</v>
      </c>
      <c r="H232" s="40">
        <v>118.728</v>
      </c>
      <c r="I232" s="21"/>
      <c r="J232" s="47" t="s">
        <v>601</v>
      </c>
      <c r="K232" s="27"/>
      <c r="L232" s="40">
        <f t="shared" si="6"/>
        <v>118.728</v>
      </c>
      <c r="M232" s="21"/>
      <c r="O232" s="314"/>
    </row>
    <row r="233" spans="3:15" ht="15.75" customHeight="1">
      <c r="C233" s="9" t="s">
        <v>820</v>
      </c>
      <c r="H233" s="40">
        <v>84.497</v>
      </c>
      <c r="I233" s="21"/>
      <c r="J233" s="47" t="s">
        <v>601</v>
      </c>
      <c r="K233" s="27"/>
      <c r="L233" s="40">
        <f t="shared" si="6"/>
        <v>84.497</v>
      </c>
      <c r="M233" s="21"/>
      <c r="O233" s="314"/>
    </row>
    <row r="234" spans="3:15" ht="15.75" customHeight="1">
      <c r="C234" s="9" t="s">
        <v>313</v>
      </c>
      <c r="H234" s="40">
        <v>42.756</v>
      </c>
      <c r="I234" s="21"/>
      <c r="J234" s="47" t="s">
        <v>601</v>
      </c>
      <c r="K234" s="27"/>
      <c r="L234" s="40">
        <f t="shared" si="6"/>
        <v>42.756</v>
      </c>
      <c r="M234" s="21"/>
      <c r="O234" s="314"/>
    </row>
    <row r="235" spans="3:15" ht="15.75" customHeight="1">
      <c r="C235" s="9" t="s">
        <v>876</v>
      </c>
      <c r="H235" s="40">
        <v>63.306</v>
      </c>
      <c r="I235" s="21"/>
      <c r="J235" s="47" t="s">
        <v>601</v>
      </c>
      <c r="K235" s="27"/>
      <c r="L235" s="40">
        <f t="shared" si="6"/>
        <v>63.306</v>
      </c>
      <c r="M235" s="21"/>
      <c r="O235" s="314"/>
    </row>
    <row r="236" spans="3:15" ht="15.75" customHeight="1">
      <c r="C236" s="9" t="s">
        <v>482</v>
      </c>
      <c r="H236" s="40">
        <v>0.741</v>
      </c>
      <c r="I236" s="21"/>
      <c r="J236" s="47" t="s">
        <v>601</v>
      </c>
      <c r="K236" s="27"/>
      <c r="L236" s="40">
        <f t="shared" si="6"/>
        <v>0.741</v>
      </c>
      <c r="M236" s="21"/>
      <c r="O236" s="314"/>
    </row>
    <row r="237" spans="3:15" ht="15.75" customHeight="1">
      <c r="C237" s="9"/>
      <c r="H237" s="40"/>
      <c r="I237" s="21"/>
      <c r="J237" s="40"/>
      <c r="K237" s="21"/>
      <c r="L237" s="40" t="s">
        <v>560</v>
      </c>
      <c r="M237" s="21"/>
      <c r="O237" s="314"/>
    </row>
    <row r="238" spans="3:15" ht="15.75" customHeight="1">
      <c r="C238" s="9" t="s">
        <v>107</v>
      </c>
      <c r="H238" s="40">
        <v>91621.423</v>
      </c>
      <c r="I238" s="21"/>
      <c r="J238" s="51">
        <v>-15747.492</v>
      </c>
      <c r="K238" s="27"/>
      <c r="L238" s="40">
        <f aca="true" t="shared" si="7" ref="L238:L243">(H238+J238)</f>
        <v>75873.931</v>
      </c>
      <c r="M238" s="21"/>
      <c r="O238" s="314"/>
    </row>
    <row r="239" spans="3:15" ht="15.75" customHeight="1">
      <c r="C239" s="9" t="s">
        <v>5</v>
      </c>
      <c r="H239" s="40">
        <v>1252.653</v>
      </c>
      <c r="I239" s="21"/>
      <c r="J239" s="47" t="s">
        <v>601</v>
      </c>
      <c r="K239" s="27"/>
      <c r="L239" s="40">
        <f t="shared" si="7"/>
        <v>1252.653</v>
      </c>
      <c r="M239" s="21"/>
      <c r="O239" s="314"/>
    </row>
    <row r="240" spans="3:15" ht="15.75" customHeight="1">
      <c r="C240" s="9" t="s">
        <v>877</v>
      </c>
      <c r="H240" s="40">
        <v>128.942</v>
      </c>
      <c r="I240" s="21"/>
      <c r="J240" s="40">
        <v>-64.571</v>
      </c>
      <c r="K240" s="27"/>
      <c r="L240" s="40">
        <f>(H240+J240)</f>
        <v>64.37100000000001</v>
      </c>
      <c r="M240" s="21"/>
      <c r="O240" s="314"/>
    </row>
    <row r="241" spans="3:15" ht="15.75" customHeight="1">
      <c r="C241" s="9" t="s">
        <v>89</v>
      </c>
      <c r="H241" s="40">
        <v>7.18</v>
      </c>
      <c r="I241" s="21"/>
      <c r="J241" s="51" t="s">
        <v>812</v>
      </c>
      <c r="K241" s="3"/>
      <c r="L241" s="40">
        <f t="shared" si="7"/>
        <v>7.18</v>
      </c>
      <c r="M241" s="21"/>
      <c r="O241" s="314"/>
    </row>
    <row r="242" spans="3:15" ht="15.75" customHeight="1">
      <c r="C242" s="9" t="s">
        <v>92</v>
      </c>
      <c r="H242" s="40">
        <v>164.999</v>
      </c>
      <c r="I242" s="21"/>
      <c r="J242" s="47" t="s">
        <v>601</v>
      </c>
      <c r="K242" s="27"/>
      <c r="L242" s="40">
        <f t="shared" si="7"/>
        <v>164.999</v>
      </c>
      <c r="M242" s="21"/>
      <c r="O242" s="314"/>
    </row>
    <row r="243" spans="3:15" ht="15.75" customHeight="1">
      <c r="C243" s="9" t="s">
        <v>103</v>
      </c>
      <c r="H243" s="40">
        <v>2788.994</v>
      </c>
      <c r="I243" s="21"/>
      <c r="J243" s="47" t="s">
        <v>601</v>
      </c>
      <c r="K243" s="27"/>
      <c r="L243" s="40">
        <f t="shared" si="7"/>
        <v>2788.994</v>
      </c>
      <c r="M243" s="21"/>
      <c r="O243" s="314"/>
    </row>
    <row r="244" spans="3:15" ht="15.75" customHeight="1">
      <c r="C244" s="9" t="s">
        <v>105</v>
      </c>
      <c r="H244" s="40">
        <v>127.581</v>
      </c>
      <c r="I244" s="21"/>
      <c r="J244" s="47" t="s">
        <v>601</v>
      </c>
      <c r="K244" s="27"/>
      <c r="L244" s="40">
        <f>(H244-J244)</f>
        <v>127.581</v>
      </c>
      <c r="M244" s="21"/>
      <c r="O244" s="314"/>
    </row>
    <row r="245" spans="8:15" ht="15.75" customHeight="1">
      <c r="H245" s="40"/>
      <c r="I245" s="21"/>
      <c r="J245" s="40"/>
      <c r="K245" s="21"/>
      <c r="L245" s="40"/>
      <c r="M245" s="21"/>
      <c r="O245" s="314"/>
    </row>
    <row r="246" spans="3:15" ht="15.75" customHeight="1">
      <c r="C246" s="9" t="s">
        <v>108</v>
      </c>
      <c r="H246" s="40">
        <v>1702.175</v>
      </c>
      <c r="I246" s="21"/>
      <c r="J246" s="47" t="s">
        <v>601</v>
      </c>
      <c r="K246" s="27"/>
      <c r="L246" s="40">
        <f>(H246+J246)</f>
        <v>1702.175</v>
      </c>
      <c r="M246" s="21"/>
      <c r="O246" s="314"/>
    </row>
    <row r="247" spans="3:15" ht="15.75" customHeight="1">
      <c r="C247" s="9" t="s">
        <v>109</v>
      </c>
      <c r="H247" s="40">
        <v>910.675</v>
      </c>
      <c r="I247" s="21"/>
      <c r="J247" s="51">
        <v>-426.287</v>
      </c>
      <c r="K247" s="27"/>
      <c r="L247" s="40">
        <f>(H247+J247)</f>
        <v>484.388</v>
      </c>
      <c r="M247" s="21"/>
      <c r="O247" s="314"/>
    </row>
    <row r="248" spans="3:15" ht="15.75" customHeight="1">
      <c r="C248" s="134" t="s">
        <v>110</v>
      </c>
      <c r="H248" s="40"/>
      <c r="I248" s="21"/>
      <c r="J248" s="47"/>
      <c r="K248" s="27"/>
      <c r="L248" s="40"/>
      <c r="M248" s="21"/>
      <c r="O248" s="314"/>
    </row>
    <row r="249" spans="3:15" ht="15.75" customHeight="1">
      <c r="C249" s="9" t="s">
        <v>492</v>
      </c>
      <c r="H249" s="40">
        <v>3100.127</v>
      </c>
      <c r="I249" s="21"/>
      <c r="J249" s="51">
        <v>-1318.517</v>
      </c>
      <c r="K249" s="27"/>
      <c r="L249" s="40">
        <f>(H249+J249)</f>
        <v>1781.61</v>
      </c>
      <c r="M249" s="21"/>
      <c r="O249" s="314"/>
    </row>
    <row r="250" spans="3:15" ht="15.75" customHeight="1">
      <c r="C250" s="134" t="s">
        <v>120</v>
      </c>
      <c r="H250" s="51" t="s">
        <v>788</v>
      </c>
      <c r="I250" s="21"/>
      <c r="J250" s="47" t="s">
        <v>601</v>
      </c>
      <c r="K250" s="27"/>
      <c r="L250" s="51" t="s">
        <v>788</v>
      </c>
      <c r="M250" s="21"/>
      <c r="O250" s="314"/>
    </row>
    <row r="251" spans="3:15" ht="15.75" customHeight="1">
      <c r="C251" s="134" t="s">
        <v>121</v>
      </c>
      <c r="H251" s="40">
        <v>874.366</v>
      </c>
      <c r="I251" s="21"/>
      <c r="J251" s="47" t="s">
        <v>601</v>
      </c>
      <c r="K251" s="27"/>
      <c r="L251" s="40">
        <f>(H251+J251)</f>
        <v>874.366</v>
      </c>
      <c r="M251" s="21"/>
      <c r="O251" s="314"/>
    </row>
    <row r="252" spans="3:15" ht="15.75" customHeight="1">
      <c r="C252" s="9"/>
      <c r="H252" s="40"/>
      <c r="I252" s="21"/>
      <c r="J252" s="47"/>
      <c r="K252" s="27"/>
      <c r="L252" s="40"/>
      <c r="M252" s="21"/>
      <c r="O252" s="314"/>
    </row>
    <row r="253" spans="3:15" ht="15.75" customHeight="1">
      <c r="C253" s="9" t="s">
        <v>122</v>
      </c>
      <c r="H253" s="40">
        <v>31</v>
      </c>
      <c r="I253" s="21"/>
      <c r="J253" s="47" t="s">
        <v>601</v>
      </c>
      <c r="K253" s="27"/>
      <c r="L253" s="40">
        <f>(H253-J253)</f>
        <v>31</v>
      </c>
      <c r="M253" s="21"/>
      <c r="O253" s="314"/>
    </row>
    <row r="254" spans="2:13" ht="15.75" customHeight="1">
      <c r="B254" s="78" t="s">
        <v>493</v>
      </c>
      <c r="H254" s="56">
        <f>SUM(H44:H253)+2</f>
        <v>2998558.825999999</v>
      </c>
      <c r="I254" s="229"/>
      <c r="J254" s="56">
        <f>SUM(J44:J253)-1</f>
        <v>-466506.11</v>
      </c>
      <c r="K254" s="229"/>
      <c r="L254" s="56">
        <f>SUM(L44:L253)+2</f>
        <v>2532051.7159999995</v>
      </c>
      <c r="M254" s="229"/>
    </row>
    <row r="255" spans="2:13" ht="15.75" customHeight="1">
      <c r="B255" s="78" t="s">
        <v>528</v>
      </c>
      <c r="H255" s="56">
        <v>14344.327</v>
      </c>
      <c r="I255" s="229"/>
      <c r="J255" s="438" t="s">
        <v>601</v>
      </c>
      <c r="K255" s="439"/>
      <c r="L255" s="56">
        <f>SUM(H255:H255)</f>
        <v>14344.327</v>
      </c>
      <c r="M255" s="229"/>
    </row>
    <row r="256" spans="2:13" ht="15.75" customHeight="1" thickBot="1">
      <c r="B256" s="75" t="s">
        <v>535</v>
      </c>
      <c r="C256" s="9"/>
      <c r="H256" s="235">
        <f>SUM(H254:H255)</f>
        <v>3012903.152999999</v>
      </c>
      <c r="I256" s="236"/>
      <c r="J256" s="235">
        <f>J254+J255</f>
        <v>-466506.11</v>
      </c>
      <c r="K256" s="239"/>
      <c r="L256" s="235">
        <f>SUM(L254:L255)+1</f>
        <v>2546397.0429999996</v>
      </c>
      <c r="M256" s="236"/>
    </row>
    <row r="257" spans="2:13" ht="21.75" customHeight="1" thickBot="1" thickTop="1">
      <c r="B257" s="75" t="s">
        <v>547</v>
      </c>
      <c r="C257" s="9"/>
      <c r="H257" s="257">
        <f>H40+H256</f>
        <v>3056180.155999999</v>
      </c>
      <c r="I257" s="311"/>
      <c r="J257" s="257">
        <f>J40+J256</f>
        <v>-466514.978</v>
      </c>
      <c r="K257" s="312"/>
      <c r="L257" s="257">
        <f>L40+L256</f>
        <v>2589664.675</v>
      </c>
      <c r="M257" s="311"/>
    </row>
    <row r="258" spans="2:13" ht="15.75" customHeight="1" thickTop="1">
      <c r="B258" s="75"/>
      <c r="C258" s="9"/>
      <c r="H258" s="297"/>
      <c r="I258" s="297"/>
      <c r="J258" s="297"/>
      <c r="K258" s="298"/>
      <c r="L258" s="299"/>
      <c r="M258" s="297"/>
    </row>
    <row r="259" spans="1:13" ht="18">
      <c r="A259" s="142" t="s">
        <v>468</v>
      </c>
      <c r="B259" s="142"/>
      <c r="C259" s="143"/>
      <c r="D259" s="143"/>
      <c r="E259" s="63"/>
      <c r="F259" s="63"/>
      <c r="G259" s="63"/>
      <c r="H259" s="63"/>
      <c r="I259" s="63"/>
      <c r="J259" s="63"/>
      <c r="K259" s="63"/>
      <c r="L259" s="310"/>
      <c r="M259" s="63"/>
    </row>
    <row r="260" spans="1:13" ht="15">
      <c r="A260" s="78"/>
      <c r="B260" s="144" t="s">
        <v>578</v>
      </c>
      <c r="C260" s="78"/>
      <c r="D260" s="78"/>
      <c r="E260" s="78"/>
      <c r="F260" s="78"/>
      <c r="G260" s="78"/>
      <c r="H260" s="313"/>
      <c r="I260" s="78"/>
      <c r="J260" s="78"/>
      <c r="K260" s="78"/>
      <c r="L260" s="82"/>
      <c r="M260" s="78"/>
    </row>
    <row r="261" spans="1:13" ht="15.75" customHeight="1">
      <c r="A261" s="78"/>
      <c r="B261" s="78"/>
      <c r="C261" s="144" t="s">
        <v>494</v>
      </c>
      <c r="D261" s="78"/>
      <c r="E261" s="78"/>
      <c r="F261" s="78"/>
      <c r="G261" s="78"/>
      <c r="H261" s="78"/>
      <c r="I261" s="78"/>
      <c r="J261" s="78"/>
      <c r="K261" s="168">
        <v>15</v>
      </c>
      <c r="L261" s="146">
        <v>263.063</v>
      </c>
      <c r="M261" s="78"/>
    </row>
    <row r="262" spans="1:13" ht="15.75" customHeight="1">
      <c r="A262" s="78"/>
      <c r="B262" s="78"/>
      <c r="C262" s="144" t="s">
        <v>133</v>
      </c>
      <c r="D262" s="78"/>
      <c r="E262" s="78"/>
      <c r="F262" s="78"/>
      <c r="G262" s="78"/>
      <c r="H262" s="78"/>
      <c r="I262" s="78"/>
      <c r="J262" s="78"/>
      <c r="K262" s="168">
        <v>16</v>
      </c>
      <c r="L262" s="146">
        <v>65.267</v>
      </c>
      <c r="M262" s="78"/>
    </row>
    <row r="263" spans="1:13" ht="15.75" customHeight="1">
      <c r="A263" s="78"/>
      <c r="B263" s="78"/>
      <c r="C263" s="144" t="s">
        <v>495</v>
      </c>
      <c r="D263" s="78"/>
      <c r="E263" s="78"/>
      <c r="F263" s="78"/>
      <c r="G263" s="78"/>
      <c r="H263" s="78"/>
      <c r="I263" s="78"/>
      <c r="J263" s="78"/>
      <c r="K263" s="168">
        <v>17</v>
      </c>
      <c r="L263" s="146">
        <v>181.451</v>
      </c>
      <c r="M263" s="78"/>
    </row>
    <row r="264" spans="1:13" ht="15.75" customHeight="1">
      <c r="A264" s="78"/>
      <c r="B264" s="78"/>
      <c r="C264" s="144" t="s">
        <v>496</v>
      </c>
      <c r="D264" s="78"/>
      <c r="E264" s="78"/>
      <c r="F264" s="78"/>
      <c r="G264" s="78"/>
      <c r="H264" s="78"/>
      <c r="I264" s="78"/>
      <c r="J264" s="78"/>
      <c r="K264" s="147"/>
      <c r="L264" s="146">
        <f>L265-L263-L262-L261</f>
        <v>11.454000000000008</v>
      </c>
      <c r="M264" s="78"/>
    </row>
    <row r="265" spans="1:13" ht="18" customHeight="1" thickBot="1">
      <c r="A265" s="78"/>
      <c r="B265" s="144" t="s">
        <v>497</v>
      </c>
      <c r="C265" s="78"/>
      <c r="D265" s="78"/>
      <c r="E265" s="78"/>
      <c r="F265" s="78"/>
      <c r="G265" s="78"/>
      <c r="H265" s="78"/>
      <c r="I265" s="78"/>
      <c r="J265" s="78"/>
      <c r="K265" s="78"/>
      <c r="L265" s="148">
        <v>521.235</v>
      </c>
      <c r="M265" s="149"/>
    </row>
    <row r="266" spans="1:13" ht="16.5" customHeight="1" thickTop="1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146"/>
      <c r="M266" s="126"/>
    </row>
    <row r="267" spans="1:13" ht="16.5" customHeight="1">
      <c r="A267" s="78"/>
      <c r="B267" s="144" t="s">
        <v>322</v>
      </c>
      <c r="C267" s="78"/>
      <c r="D267" s="78"/>
      <c r="E267" s="78"/>
      <c r="F267" s="78"/>
      <c r="G267" s="78"/>
      <c r="H267" s="78"/>
      <c r="I267" s="78"/>
      <c r="J267" s="78"/>
      <c r="K267" s="78"/>
      <c r="L267" s="146"/>
      <c r="M267" s="78"/>
    </row>
    <row r="268" spans="1:13" ht="15.75" customHeight="1">
      <c r="A268" s="78"/>
      <c r="B268" s="78"/>
      <c r="C268" s="144" t="s">
        <v>498</v>
      </c>
      <c r="D268" s="78"/>
      <c r="E268" s="78"/>
      <c r="F268" s="78"/>
      <c r="G268" s="78"/>
      <c r="H268" s="78"/>
      <c r="I268" s="78"/>
      <c r="J268" s="78"/>
      <c r="K268" s="168" t="s">
        <v>696</v>
      </c>
      <c r="L268" s="146">
        <v>3178.678</v>
      </c>
      <c r="M268" s="78"/>
    </row>
    <row r="269" spans="1:13" ht="15.75" customHeight="1">
      <c r="A269" s="78"/>
      <c r="B269" s="78"/>
      <c r="C269" s="144" t="s">
        <v>499</v>
      </c>
      <c r="D269" s="78"/>
      <c r="E269" s="78"/>
      <c r="F269" s="78"/>
      <c r="G269" s="78"/>
      <c r="H269" s="78"/>
      <c r="I269" s="78"/>
      <c r="J269" s="78"/>
      <c r="K269" s="147"/>
      <c r="L269" s="146">
        <v>45.061</v>
      </c>
      <c r="M269" s="78"/>
    </row>
    <row r="270" spans="1:13" ht="15.75" customHeight="1">
      <c r="A270" s="78"/>
      <c r="B270" s="78"/>
      <c r="C270" s="144" t="s">
        <v>496</v>
      </c>
      <c r="D270" s="78"/>
      <c r="E270" s="78"/>
      <c r="F270" s="78"/>
      <c r="G270" s="78"/>
      <c r="H270" s="78"/>
      <c r="I270" s="78"/>
      <c r="J270" s="78"/>
      <c r="K270" s="168"/>
      <c r="L270" s="146">
        <f>+L271-L268-L269</f>
        <v>6.377000000000102</v>
      </c>
      <c r="M270" s="78"/>
    </row>
    <row r="271" spans="1:13" ht="18" customHeight="1" thickBot="1">
      <c r="A271" s="78"/>
      <c r="B271" s="144" t="s">
        <v>500</v>
      </c>
      <c r="C271" s="78"/>
      <c r="D271" s="78"/>
      <c r="E271" s="78"/>
      <c r="F271" s="78"/>
      <c r="G271" s="78"/>
      <c r="H271" s="78"/>
      <c r="I271" s="78"/>
      <c r="J271" s="78"/>
      <c r="K271" s="147"/>
      <c r="L271" s="148">
        <v>3230.116</v>
      </c>
      <c r="M271" s="149"/>
    </row>
    <row r="272" spans="1:13" ht="21" customHeight="1" thickBot="1" thickTop="1">
      <c r="A272" s="142" t="s">
        <v>548</v>
      </c>
      <c r="B272" s="142"/>
      <c r="C272" s="143"/>
      <c r="D272" s="143"/>
      <c r="E272" s="190"/>
      <c r="F272" s="190"/>
      <c r="G272" s="190"/>
      <c r="H272" s="190"/>
      <c r="I272" s="190"/>
      <c r="J272" s="190"/>
      <c r="K272" s="261"/>
      <c r="L272" s="113">
        <f>+L265+L271</f>
        <v>3751.351</v>
      </c>
      <c r="M272" s="55"/>
    </row>
    <row r="273" spans="3:13" ht="15.75" customHeight="1" thickTop="1">
      <c r="C273" s="9"/>
      <c r="G273" s="63"/>
      <c r="H273" s="110"/>
      <c r="I273" s="110"/>
      <c r="J273" s="111"/>
      <c r="K273" s="27"/>
      <c r="L273" s="40"/>
      <c r="M273" s="21"/>
    </row>
    <row r="274" spans="1:13" ht="18" customHeight="1" thickBot="1">
      <c r="A274" s="23" t="s">
        <v>501</v>
      </c>
      <c r="B274" s="23"/>
      <c r="H274" s="118"/>
      <c r="I274" s="110"/>
      <c r="J274" s="118"/>
      <c r="K274" s="262"/>
      <c r="L274" s="113">
        <f>SUM(L257,L272,Nonmarketable!O20,Nonmarketable!O34,Nonmarketable!O39,Nonmarketable!O51,Nonmarketable!O70)+1</f>
        <v>2971006.8609999996</v>
      </c>
      <c r="M274" s="173"/>
    </row>
    <row r="275" spans="3:13" ht="15.75" customHeight="1" thickTop="1">
      <c r="C275" s="9"/>
      <c r="G275" s="63"/>
      <c r="H275" s="110"/>
      <c r="I275" s="110"/>
      <c r="J275" s="111"/>
      <c r="K275" s="27"/>
      <c r="L275" s="263"/>
      <c r="M275" s="21"/>
    </row>
    <row r="276" spans="1:13" s="102" customFormat="1" ht="24.75" customHeight="1" thickBot="1">
      <c r="A276" s="408" t="s">
        <v>84</v>
      </c>
      <c r="B276" s="192"/>
      <c r="C276" s="193"/>
      <c r="D276" s="193"/>
      <c r="E276" s="194"/>
      <c r="F276" s="194"/>
      <c r="G276" s="194"/>
      <c r="H276" s="194"/>
      <c r="I276" s="194"/>
      <c r="J276" s="194"/>
      <c r="K276" s="194"/>
      <c r="L276" s="409">
        <f>SUM(Marketable!O295,L274)-1</f>
        <v>6006031.546</v>
      </c>
      <c r="M276" s="132"/>
    </row>
    <row r="277" spans="1:13" s="416" customFormat="1" ht="15.75" customHeight="1" thickTop="1">
      <c r="A277" s="410"/>
      <c r="B277" s="411"/>
      <c r="C277" s="412"/>
      <c r="D277" s="412"/>
      <c r="E277" s="413"/>
      <c r="F277" s="413"/>
      <c r="G277" s="413"/>
      <c r="H277" s="413"/>
      <c r="I277" s="413"/>
      <c r="J277" s="413"/>
      <c r="K277" s="413"/>
      <c r="L277" s="414"/>
      <c r="M277" s="415"/>
    </row>
    <row r="278" spans="1:13" s="63" customFormat="1" ht="15.75" customHeight="1">
      <c r="A278" s="317"/>
      <c r="B278" s="189"/>
      <c r="C278" s="140"/>
      <c r="D278" s="140"/>
      <c r="E278" s="190"/>
      <c r="F278" s="190"/>
      <c r="G278" s="190"/>
      <c r="H278" s="190"/>
      <c r="I278" s="190"/>
      <c r="J278" s="190"/>
      <c r="K278" s="190"/>
      <c r="L278" s="191"/>
      <c r="M278" s="99"/>
    </row>
    <row r="279" spans="1:13" s="63" customFormat="1" ht="15.75" customHeight="1">
      <c r="A279" s="317"/>
      <c r="B279" s="189"/>
      <c r="C279" s="140"/>
      <c r="D279" s="140"/>
      <c r="E279" s="190"/>
      <c r="F279" s="190"/>
      <c r="G279" s="190"/>
      <c r="H279" s="190"/>
      <c r="I279" s="190"/>
      <c r="J279" s="190"/>
      <c r="K279" s="190"/>
      <c r="L279" s="191"/>
      <c r="M279" s="99"/>
    </row>
    <row r="280" spans="1:13" s="63" customFormat="1" ht="15.75" customHeight="1">
      <c r="A280" s="317"/>
      <c r="B280" s="189"/>
      <c r="C280" s="140"/>
      <c r="D280" s="140"/>
      <c r="E280" s="190"/>
      <c r="F280" s="190"/>
      <c r="G280" s="190"/>
      <c r="H280" s="190"/>
      <c r="I280" s="190"/>
      <c r="J280" s="190"/>
      <c r="K280" s="190"/>
      <c r="L280" s="191"/>
      <c r="M280" s="99"/>
    </row>
    <row r="281" spans="1:13" s="63" customFormat="1" ht="15.75" customHeight="1">
      <c r="A281" s="317"/>
      <c r="B281" s="189"/>
      <c r="C281" s="140"/>
      <c r="D281" s="140"/>
      <c r="E281" s="190"/>
      <c r="F281" s="190"/>
      <c r="G281" s="190"/>
      <c r="H281" s="190"/>
      <c r="I281" s="190"/>
      <c r="J281" s="190"/>
      <c r="K281" s="190"/>
      <c r="L281" s="191"/>
      <c r="M281" s="99"/>
    </row>
    <row r="282" spans="1:13" s="63" customFormat="1" ht="15.75" customHeight="1">
      <c r="A282" s="317"/>
      <c r="B282" s="189"/>
      <c r="C282" s="140"/>
      <c r="D282" s="140"/>
      <c r="E282" s="190"/>
      <c r="F282" s="190"/>
      <c r="G282" s="190"/>
      <c r="H282" s="190"/>
      <c r="I282" s="190"/>
      <c r="J282" s="190"/>
      <c r="K282" s="190"/>
      <c r="L282" s="191"/>
      <c r="M282" s="99"/>
    </row>
    <row r="283" spans="1:13" s="63" customFormat="1" ht="15.75" customHeight="1">
      <c r="A283" s="317"/>
      <c r="B283" s="189"/>
      <c r="C283" s="140"/>
      <c r="D283" s="140"/>
      <c r="E283" s="190"/>
      <c r="F283" s="190"/>
      <c r="G283" s="190"/>
      <c r="H283" s="190"/>
      <c r="I283" s="190"/>
      <c r="J283" s="190"/>
      <c r="K283" s="190"/>
      <c r="L283" s="191"/>
      <c r="M283" s="99"/>
    </row>
    <row r="284" spans="1:13" s="63" customFormat="1" ht="15.75" customHeight="1">
      <c r="A284" s="317"/>
      <c r="B284" s="189"/>
      <c r="C284" s="140"/>
      <c r="D284" s="140"/>
      <c r="E284" s="190"/>
      <c r="F284" s="190"/>
      <c r="G284" s="190"/>
      <c r="H284" s="190"/>
      <c r="I284" s="190"/>
      <c r="J284" s="190"/>
      <c r="K284" s="190"/>
      <c r="L284" s="191"/>
      <c r="M284" s="99"/>
    </row>
    <row r="285" spans="1:13" s="63" customFormat="1" ht="15.75" customHeight="1">
      <c r="A285" s="317"/>
      <c r="B285" s="189"/>
      <c r="C285" s="140"/>
      <c r="D285" s="140"/>
      <c r="E285" s="190"/>
      <c r="F285" s="190"/>
      <c r="G285" s="190"/>
      <c r="H285" s="190"/>
      <c r="I285" s="190"/>
      <c r="J285" s="190"/>
      <c r="K285" s="190"/>
      <c r="L285" s="191"/>
      <c r="M285" s="99"/>
    </row>
    <row r="286" spans="1:13" s="63" customFormat="1" ht="15.75" customHeight="1">
      <c r="A286" s="317"/>
      <c r="B286" s="189"/>
      <c r="C286" s="140"/>
      <c r="D286" s="140"/>
      <c r="E286" s="190"/>
      <c r="F286" s="190"/>
      <c r="G286" s="190"/>
      <c r="H286" s="190"/>
      <c r="I286" s="190"/>
      <c r="J286" s="190"/>
      <c r="K286" s="190"/>
      <c r="L286" s="191"/>
      <c r="M286" s="99"/>
    </row>
    <row r="287" spans="1:13" s="63" customFormat="1" ht="15.75" customHeight="1">
      <c r="A287" s="317"/>
      <c r="B287" s="189"/>
      <c r="C287" s="140"/>
      <c r="D287" s="140"/>
      <c r="E287" s="190"/>
      <c r="F287" s="190"/>
      <c r="G287" s="190"/>
      <c r="H287" s="190"/>
      <c r="I287" s="190"/>
      <c r="J287" s="190"/>
      <c r="K287" s="190"/>
      <c r="L287" s="191"/>
      <c r="M287" s="99"/>
    </row>
    <row r="288" spans="1:13" s="63" customFormat="1" ht="15.75" customHeight="1">
      <c r="A288" s="317"/>
      <c r="B288" s="189"/>
      <c r="C288" s="140"/>
      <c r="D288" s="140"/>
      <c r="E288" s="190"/>
      <c r="F288" s="190"/>
      <c r="G288" s="190"/>
      <c r="H288" s="190"/>
      <c r="I288" s="190"/>
      <c r="J288" s="190"/>
      <c r="K288" s="190"/>
      <c r="L288" s="191"/>
      <c r="M288" s="99"/>
    </row>
    <row r="289" spans="1:13" s="63" customFormat="1" ht="15.75" customHeight="1">
      <c r="A289" s="317"/>
      <c r="B289" s="189"/>
      <c r="C289" s="140"/>
      <c r="D289" s="140"/>
      <c r="E289" s="190"/>
      <c r="F289" s="190"/>
      <c r="G289" s="190"/>
      <c r="H289" s="190"/>
      <c r="I289" s="190"/>
      <c r="J289" s="190"/>
      <c r="K289" s="190"/>
      <c r="L289" s="191"/>
      <c r="M289" s="99"/>
    </row>
    <row r="290" spans="1:13" s="63" customFormat="1" ht="15.75" customHeight="1">
      <c r="A290" s="317"/>
      <c r="B290" s="189"/>
      <c r="C290" s="140"/>
      <c r="D290" s="140"/>
      <c r="E290" s="190"/>
      <c r="F290" s="190"/>
      <c r="G290" s="190"/>
      <c r="H290" s="190"/>
      <c r="I290" s="190"/>
      <c r="J290" s="190"/>
      <c r="K290" s="190"/>
      <c r="L290" s="191"/>
      <c r="M290" s="99"/>
    </row>
    <row r="291" spans="1:13" s="63" customFormat="1" ht="15.75" customHeight="1">
      <c r="A291" s="317"/>
      <c r="B291" s="189"/>
      <c r="C291" s="140"/>
      <c r="D291" s="140"/>
      <c r="E291" s="190"/>
      <c r="F291" s="190"/>
      <c r="G291" s="190"/>
      <c r="H291" s="190"/>
      <c r="I291" s="190"/>
      <c r="J291" s="190"/>
      <c r="K291" s="190"/>
      <c r="L291" s="191"/>
      <c r="M291" s="99"/>
    </row>
    <row r="292" spans="1:13" s="63" customFormat="1" ht="15.75" customHeight="1">
      <c r="A292" s="317"/>
      <c r="B292" s="189"/>
      <c r="C292" s="140"/>
      <c r="D292" s="140"/>
      <c r="E292" s="190"/>
      <c r="F292" s="190"/>
      <c r="G292" s="190"/>
      <c r="H292" s="190"/>
      <c r="I292" s="190"/>
      <c r="J292" s="190"/>
      <c r="K292" s="190"/>
      <c r="L292" s="191"/>
      <c r="M292" s="99"/>
    </row>
    <row r="293" spans="1:13" s="63" customFormat="1" ht="15.75" customHeight="1">
      <c r="A293" s="317"/>
      <c r="B293" s="189"/>
      <c r="C293" s="140"/>
      <c r="D293" s="140"/>
      <c r="E293" s="190"/>
      <c r="F293" s="190"/>
      <c r="G293" s="190"/>
      <c r="H293" s="190"/>
      <c r="I293" s="190"/>
      <c r="J293" s="190"/>
      <c r="K293" s="190"/>
      <c r="L293" s="191"/>
      <c r="M293" s="99"/>
    </row>
    <row r="294" spans="1:13" s="63" customFormat="1" ht="15.75" customHeight="1">
      <c r="A294" s="317"/>
      <c r="B294" s="189"/>
      <c r="C294" s="140"/>
      <c r="D294" s="140"/>
      <c r="E294" s="190"/>
      <c r="F294" s="190"/>
      <c r="G294" s="190"/>
      <c r="H294" s="190"/>
      <c r="I294" s="190"/>
      <c r="J294" s="190"/>
      <c r="K294" s="190"/>
      <c r="L294" s="191"/>
      <c r="M294" s="99"/>
    </row>
    <row r="295" spans="1:13" s="63" customFormat="1" ht="15.75" customHeight="1">
      <c r="A295" s="317"/>
      <c r="B295" s="189"/>
      <c r="C295" s="140"/>
      <c r="D295" s="140"/>
      <c r="E295" s="190"/>
      <c r="F295" s="190"/>
      <c r="G295" s="190"/>
      <c r="H295" s="190"/>
      <c r="I295" s="190"/>
      <c r="J295" s="190"/>
      <c r="K295" s="190"/>
      <c r="L295" s="191"/>
      <c r="M295" s="99"/>
    </row>
    <row r="296" spans="1:13" s="63" customFormat="1" ht="15.75" customHeight="1">
      <c r="A296" s="317"/>
      <c r="B296" s="189"/>
      <c r="C296" s="140"/>
      <c r="D296" s="140"/>
      <c r="E296" s="190"/>
      <c r="F296" s="190"/>
      <c r="G296" s="190"/>
      <c r="H296" s="190"/>
      <c r="I296" s="190"/>
      <c r="J296" s="190"/>
      <c r="K296" s="190"/>
      <c r="L296" s="191"/>
      <c r="M296" s="99"/>
    </row>
    <row r="297" spans="1:13" s="63" customFormat="1" ht="15.75" customHeight="1">
      <c r="A297" s="317"/>
      <c r="B297" s="189"/>
      <c r="C297" s="140"/>
      <c r="D297" s="140"/>
      <c r="E297" s="190"/>
      <c r="F297" s="190"/>
      <c r="G297" s="190"/>
      <c r="H297" s="190"/>
      <c r="I297" s="190"/>
      <c r="J297" s="190"/>
      <c r="K297" s="190"/>
      <c r="L297" s="191"/>
      <c r="M297" s="99"/>
    </row>
    <row r="298" spans="1:13" s="63" customFormat="1" ht="15.75" customHeight="1">
      <c r="A298" s="317"/>
      <c r="B298" s="189"/>
      <c r="C298" s="140"/>
      <c r="D298" s="140"/>
      <c r="E298" s="190"/>
      <c r="F298" s="190"/>
      <c r="G298" s="190"/>
      <c r="H298" s="190"/>
      <c r="I298" s="190"/>
      <c r="J298" s="190"/>
      <c r="K298" s="190"/>
      <c r="L298" s="191"/>
      <c r="M298" s="99"/>
    </row>
    <row r="299" spans="1:13" s="63" customFormat="1" ht="15.75" customHeight="1">
      <c r="A299" s="317"/>
      <c r="B299" s="189"/>
      <c r="C299" s="140"/>
      <c r="D299" s="140"/>
      <c r="E299" s="190"/>
      <c r="F299" s="190"/>
      <c r="G299" s="190"/>
      <c r="H299" s="190"/>
      <c r="I299" s="190"/>
      <c r="J299" s="190"/>
      <c r="K299" s="190"/>
      <c r="L299" s="191"/>
      <c r="M299" s="99"/>
    </row>
    <row r="300" spans="1:13" s="63" customFormat="1" ht="15.75" customHeight="1">
      <c r="A300" s="317"/>
      <c r="B300" s="189"/>
      <c r="C300" s="140"/>
      <c r="D300" s="140"/>
      <c r="E300" s="190"/>
      <c r="F300" s="190"/>
      <c r="G300" s="190"/>
      <c r="H300" s="190"/>
      <c r="I300" s="190"/>
      <c r="J300" s="190"/>
      <c r="K300" s="190"/>
      <c r="L300" s="191"/>
      <c r="M300" s="99"/>
    </row>
    <row r="301" spans="1:13" s="63" customFormat="1" ht="15.75" customHeight="1">
      <c r="A301" s="317"/>
      <c r="B301" s="189"/>
      <c r="C301" s="140"/>
      <c r="D301" s="140"/>
      <c r="E301" s="190"/>
      <c r="F301" s="190"/>
      <c r="G301" s="190"/>
      <c r="H301" s="190"/>
      <c r="I301" s="190"/>
      <c r="J301" s="190"/>
      <c r="K301" s="190"/>
      <c r="L301" s="191"/>
      <c r="M301" s="99"/>
    </row>
    <row r="302" spans="1:13" s="63" customFormat="1" ht="15.75" customHeight="1">
      <c r="A302" s="317"/>
      <c r="B302" s="189"/>
      <c r="C302" s="140"/>
      <c r="D302" s="140"/>
      <c r="E302" s="190"/>
      <c r="F302" s="190"/>
      <c r="G302" s="190"/>
      <c r="H302" s="190"/>
      <c r="I302" s="190"/>
      <c r="J302" s="190"/>
      <c r="K302" s="190"/>
      <c r="L302" s="191"/>
      <c r="M302" s="99"/>
    </row>
    <row r="303" spans="1:13" s="63" customFormat="1" ht="15.75" customHeight="1">
      <c r="A303" s="317"/>
      <c r="B303" s="189"/>
      <c r="C303" s="140"/>
      <c r="D303" s="140"/>
      <c r="E303" s="190"/>
      <c r="F303" s="190"/>
      <c r="G303" s="190"/>
      <c r="H303" s="190"/>
      <c r="I303" s="190"/>
      <c r="J303" s="190"/>
      <c r="K303" s="190"/>
      <c r="L303" s="191"/>
      <c r="M303" s="99"/>
    </row>
    <row r="304" spans="1:13" s="63" customFormat="1" ht="15.75" customHeight="1">
      <c r="A304" s="317"/>
      <c r="B304" s="189"/>
      <c r="C304" s="140"/>
      <c r="D304" s="140"/>
      <c r="E304" s="190"/>
      <c r="F304" s="190"/>
      <c r="G304" s="190"/>
      <c r="H304" s="190"/>
      <c r="I304" s="190"/>
      <c r="J304" s="190"/>
      <c r="K304" s="190"/>
      <c r="L304" s="191"/>
      <c r="M304" s="99"/>
    </row>
    <row r="305" spans="1:13" s="102" customFormat="1" ht="15.75" customHeight="1" thickBot="1">
      <c r="A305" s="408"/>
      <c r="B305" s="192"/>
      <c r="C305" s="193"/>
      <c r="D305" s="193"/>
      <c r="E305" s="194"/>
      <c r="F305" s="194"/>
      <c r="G305" s="194"/>
      <c r="H305" s="194"/>
      <c r="I305" s="194"/>
      <c r="J305" s="194"/>
      <c r="K305" s="194"/>
      <c r="L305" s="195"/>
      <c r="M305" s="132"/>
    </row>
    <row r="306" spans="1:13" ht="15.75" customHeight="1" thickTop="1">
      <c r="A306" s="317"/>
      <c r="B306" s="189"/>
      <c r="C306" s="140"/>
      <c r="D306" s="140"/>
      <c r="E306" s="190"/>
      <c r="F306" s="190"/>
      <c r="G306" s="190"/>
      <c r="H306" s="190"/>
      <c r="I306" s="190"/>
      <c r="J306" s="190"/>
      <c r="K306" s="190"/>
      <c r="L306" s="191"/>
      <c r="M306" s="99"/>
    </row>
    <row r="307" spans="1:13" ht="16.5" customHeight="1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126"/>
      <c r="L307" s="186"/>
      <c r="M307" s="126"/>
    </row>
    <row r="308" spans="1:13" ht="16.5" customHeight="1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126"/>
      <c r="L308" s="186"/>
      <c r="M308" s="126"/>
    </row>
    <row r="309" spans="1:13" ht="16.5" customHeight="1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126"/>
      <c r="L309" s="186"/>
      <c r="M309" s="126"/>
    </row>
    <row r="310" spans="1:13" ht="16.5" customHeight="1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126"/>
      <c r="L310" s="186"/>
      <c r="M310" s="126"/>
    </row>
    <row r="311" spans="1:13" ht="16.5" customHeight="1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126"/>
      <c r="L311" s="186"/>
      <c r="M311" s="126"/>
    </row>
    <row r="312" spans="1:13" ht="16.5" customHeight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126"/>
      <c r="L312" s="186"/>
      <c r="M312" s="126"/>
    </row>
    <row r="313" spans="1:13" ht="16.5" customHeight="1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126"/>
      <c r="L313" s="186"/>
      <c r="M313" s="126"/>
    </row>
    <row r="314" spans="1:13" ht="16.5" customHeight="1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126"/>
      <c r="L314" s="186"/>
      <c r="M314" s="126"/>
    </row>
    <row r="315" spans="1:13" ht="16.5" customHeight="1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126"/>
      <c r="L315" s="186"/>
      <c r="M315" s="126"/>
    </row>
    <row r="316" spans="1:13" ht="16.5" customHeight="1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126"/>
      <c r="L316" s="186"/>
      <c r="M316" s="126"/>
    </row>
    <row r="317" spans="1:13" ht="16.5" customHeight="1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126"/>
      <c r="L317" s="186"/>
      <c r="M317" s="126"/>
    </row>
    <row r="318" spans="1:13" ht="16.5" customHeight="1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126"/>
      <c r="L318" s="186"/>
      <c r="M318" s="126"/>
    </row>
    <row r="319" spans="1:13" ht="16.5" customHeight="1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126"/>
      <c r="L319" s="186"/>
      <c r="M319" s="126"/>
    </row>
    <row r="320" spans="1:13" ht="16.5" customHeight="1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126"/>
      <c r="L320" s="186"/>
      <c r="M320" s="126"/>
    </row>
    <row r="321" spans="1:13" ht="16.5" customHeight="1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126"/>
      <c r="L321" s="186"/>
      <c r="M321" s="126"/>
    </row>
    <row r="323" s="102" customFormat="1" ht="15.75" thickBot="1"/>
    <row r="324" ht="15.75" thickTop="1"/>
  </sheetData>
  <printOptions horizontalCentered="1"/>
  <pageMargins left="0" right="0" top="0.4" bottom="0.25" header="0" footer="0.18"/>
  <pageSetup fitToHeight="3" horizontalDpi="300" verticalDpi="300" orientation="portrait" scale="33" r:id="rId1"/>
  <rowBreaks count="2" manualBreakCount="2">
    <brk id="102" max="12" man="1"/>
    <brk id="205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83"/>
  <sheetViews>
    <sheetView showGridLines="0" view="pageBreakPreview" zoomScale="87" zoomScaleNormal="50" zoomScaleSheetLayoutView="87" workbookViewId="0" topLeftCell="A168">
      <selection activeCell="C180" sqref="C180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78" customFormat="1" ht="15.75" customHeight="1">
      <c r="A1" s="241" t="s">
        <v>680</v>
      </c>
      <c r="B1" s="76" t="s">
        <v>16</v>
      </c>
      <c r="C1" s="76"/>
      <c r="D1" s="76"/>
      <c r="E1" s="77"/>
      <c r="F1" s="77"/>
      <c r="G1" s="77"/>
      <c r="H1" s="77"/>
      <c r="I1" s="77"/>
      <c r="J1" s="315"/>
      <c r="K1" s="315"/>
      <c r="L1" s="75"/>
    </row>
    <row r="2" spans="1:12" s="78" customFormat="1" ht="15.75" customHeight="1">
      <c r="A2" s="241"/>
      <c r="B2" s="318" t="s">
        <v>774</v>
      </c>
      <c r="C2" s="76"/>
      <c r="D2" s="76"/>
      <c r="E2" s="77"/>
      <c r="F2" s="77"/>
      <c r="G2" s="77"/>
      <c r="H2" s="77"/>
      <c r="I2" s="77"/>
      <c r="J2" s="315"/>
      <c r="K2" s="315"/>
      <c r="L2" s="75"/>
    </row>
    <row r="3" spans="1:12" s="78" customFormat="1" ht="15.75" customHeight="1">
      <c r="A3" s="319"/>
      <c r="B3" s="318"/>
      <c r="C3" s="320"/>
      <c r="D3" s="320"/>
      <c r="E3" s="320"/>
      <c r="F3" s="320"/>
      <c r="G3" s="320"/>
      <c r="H3" s="320"/>
      <c r="I3" s="320"/>
      <c r="J3" s="321"/>
      <c r="K3" s="320"/>
      <c r="L3" s="322"/>
    </row>
    <row r="4" spans="1:12" s="78" customFormat="1" ht="15.75" customHeight="1">
      <c r="A4" s="323"/>
      <c r="B4" s="323"/>
      <c r="C4" s="323"/>
      <c r="D4" s="324"/>
      <c r="E4" s="423"/>
      <c r="F4" s="420"/>
      <c r="G4" s="325"/>
      <c r="H4" s="324"/>
      <c r="I4" s="325"/>
      <c r="J4" s="326"/>
      <c r="K4" s="322"/>
      <c r="L4" s="322"/>
    </row>
    <row r="5" spans="1:12" s="78" customFormat="1" ht="16.5" customHeight="1">
      <c r="A5" s="77" t="s">
        <v>800</v>
      </c>
      <c r="B5" s="77"/>
      <c r="C5" s="77"/>
      <c r="D5" s="424" t="s">
        <v>48</v>
      </c>
      <c r="E5" s="437" t="s">
        <v>49</v>
      </c>
      <c r="F5" s="424" t="s">
        <v>581</v>
      </c>
      <c r="G5" s="421" t="s">
        <v>582</v>
      </c>
      <c r="H5" s="403" t="s">
        <v>583</v>
      </c>
      <c r="I5" s="404" t="s">
        <v>584</v>
      </c>
      <c r="J5" s="77"/>
      <c r="L5" s="320"/>
    </row>
    <row r="6" spans="1:12" s="78" customFormat="1" ht="15.75" customHeight="1">
      <c r="A6" s="327"/>
      <c r="B6" s="327"/>
      <c r="C6" s="327"/>
      <c r="D6" s="425"/>
      <c r="E6" s="425"/>
      <c r="F6" s="422"/>
      <c r="G6" s="405"/>
      <c r="H6" s="405"/>
      <c r="I6" s="406"/>
      <c r="J6" s="407"/>
      <c r="K6" s="322"/>
      <c r="L6" s="322"/>
    </row>
    <row r="7" spans="1:12" s="78" customFormat="1" ht="21" customHeight="1">
      <c r="A7" s="300" t="s">
        <v>549</v>
      </c>
      <c r="D7" s="428">
        <f>+Summary!F32</f>
        <v>3444137.2120000003</v>
      </c>
      <c r="E7" s="292">
        <v>3435029</v>
      </c>
      <c r="F7" s="426">
        <v>3339310</v>
      </c>
      <c r="G7" s="292">
        <v>3439322</v>
      </c>
      <c r="H7" s="291">
        <v>3668380</v>
      </c>
      <c r="I7" s="290">
        <v>3761222</v>
      </c>
      <c r="J7" s="292"/>
      <c r="K7" s="322"/>
      <c r="L7" s="319"/>
    </row>
    <row r="8" spans="1:12" s="78" customFormat="1" ht="21" customHeight="1">
      <c r="A8" s="300" t="s">
        <v>550</v>
      </c>
      <c r="D8" s="289">
        <f>+Summary!I32</f>
        <v>2561895.354</v>
      </c>
      <c r="E8" s="427">
        <v>2338711</v>
      </c>
      <c r="F8" s="427">
        <v>2468153</v>
      </c>
      <c r="G8" s="293">
        <v>2234857</v>
      </c>
      <c r="H8" s="289">
        <f>1972891+15000</f>
        <v>1987891</v>
      </c>
      <c r="I8" s="289">
        <f>1749971+15000</f>
        <v>1764971</v>
      </c>
      <c r="J8" s="293"/>
      <c r="K8" s="322"/>
      <c r="L8" s="319"/>
    </row>
    <row r="9" spans="1:12" s="78" customFormat="1" ht="21" customHeight="1" thickBot="1">
      <c r="A9" s="301" t="s">
        <v>551</v>
      </c>
      <c r="B9" s="287"/>
      <c r="C9" s="287"/>
      <c r="D9" s="288">
        <f>+Summary!L32</f>
        <v>6006031.546</v>
      </c>
      <c r="E9" s="294">
        <f>SUM(E7:E8)</f>
        <v>5773740</v>
      </c>
      <c r="F9" s="294">
        <f>SUM(F7:F8)</f>
        <v>5807463</v>
      </c>
      <c r="G9" s="294">
        <f>SUM(G7:G8)-1</f>
        <v>5674178</v>
      </c>
      <c r="H9" s="294">
        <f>SUM(H7:H8)</f>
        <v>5656271</v>
      </c>
      <c r="I9" s="288">
        <f>SUM(I7:I8)</f>
        <v>5526193</v>
      </c>
      <c r="J9" s="295"/>
      <c r="K9" s="322"/>
      <c r="L9" s="319"/>
    </row>
    <row r="10" spans="1:12" s="78" customFormat="1" ht="12.75" customHeight="1" thickTop="1">
      <c r="A10" s="306" t="s">
        <v>821</v>
      </c>
      <c r="B10" s="305"/>
      <c r="C10" s="305"/>
      <c r="D10" s="305"/>
      <c r="E10" s="305"/>
      <c r="F10" s="305"/>
      <c r="G10" s="474"/>
      <c r="H10" s="474"/>
      <c r="I10" s="474"/>
      <c r="J10" s="474"/>
      <c r="L10" s="319"/>
    </row>
    <row r="11" spans="1:13" s="78" customFormat="1" ht="28.5" customHeight="1" thickBot="1">
      <c r="A11" s="303" t="s">
        <v>17</v>
      </c>
      <c r="B11" s="303"/>
      <c r="C11" s="303"/>
      <c r="D11" s="303"/>
      <c r="E11" s="304"/>
      <c r="F11" s="304"/>
      <c r="G11" s="304"/>
      <c r="H11" s="304"/>
      <c r="I11" s="304"/>
      <c r="J11" s="303"/>
      <c r="L11" s="322"/>
      <c r="M11" s="144" t="s">
        <v>323</v>
      </c>
    </row>
    <row r="12" spans="1:12" s="78" customFormat="1" ht="15.75" thickTop="1">
      <c r="A12" s="126"/>
      <c r="B12" s="126"/>
      <c r="C12" s="126"/>
      <c r="D12" s="82"/>
      <c r="E12" s="82"/>
      <c r="F12" s="82"/>
      <c r="G12" s="126"/>
      <c r="H12" s="126"/>
      <c r="I12" s="302"/>
      <c r="J12" s="126"/>
      <c r="K12" s="319"/>
      <c r="L12" s="319"/>
    </row>
    <row r="13" spans="4:12" s="78" customFormat="1" ht="14.25" customHeight="1">
      <c r="D13" s="329" t="s">
        <v>326</v>
      </c>
      <c r="E13" s="82"/>
      <c r="F13" s="330" t="s">
        <v>775</v>
      </c>
      <c r="G13" s="77"/>
      <c r="H13" s="77"/>
      <c r="I13" s="302"/>
      <c r="J13" s="319"/>
      <c r="K13" s="319"/>
      <c r="L13" s="319"/>
    </row>
    <row r="14" spans="1:11" s="78" customFormat="1" ht="16.5" customHeight="1">
      <c r="A14" s="77" t="s">
        <v>591</v>
      </c>
      <c r="B14" s="77"/>
      <c r="C14" s="77"/>
      <c r="D14" s="329" t="s">
        <v>327</v>
      </c>
      <c r="E14" s="329" t="s">
        <v>328</v>
      </c>
      <c r="F14" s="82"/>
      <c r="I14" s="331" t="s">
        <v>329</v>
      </c>
      <c r="J14" s="320"/>
      <c r="K14" s="315"/>
    </row>
    <row r="15" spans="4:12" s="78" customFormat="1" ht="15.75" customHeight="1">
      <c r="D15" s="329" t="s">
        <v>334</v>
      </c>
      <c r="E15" s="82"/>
      <c r="F15" s="332" t="s">
        <v>335</v>
      </c>
      <c r="G15" s="332" t="s">
        <v>336</v>
      </c>
      <c r="H15" s="332" t="s">
        <v>336</v>
      </c>
      <c r="I15" s="333" t="s">
        <v>822</v>
      </c>
      <c r="J15" s="66"/>
      <c r="K15" s="126"/>
      <c r="L15" s="126"/>
    </row>
    <row r="16" spans="1:10" s="78" customFormat="1" ht="14.25" customHeight="1">
      <c r="A16" s="83"/>
      <c r="B16" s="83"/>
      <c r="C16" s="83"/>
      <c r="D16" s="84"/>
      <c r="E16" s="84"/>
      <c r="F16" s="334" t="s">
        <v>563</v>
      </c>
      <c r="G16" s="335" t="s">
        <v>337</v>
      </c>
      <c r="H16" s="335" t="s">
        <v>338</v>
      </c>
      <c r="I16" s="336"/>
      <c r="J16" s="328"/>
    </row>
    <row r="17" spans="1:12" s="78" customFormat="1" ht="14.25" customHeight="1">
      <c r="A17" s="126"/>
      <c r="B17" s="126"/>
      <c r="C17" s="126"/>
      <c r="D17" s="82"/>
      <c r="E17" s="82"/>
      <c r="F17" s="337"/>
      <c r="G17" s="329"/>
      <c r="H17" s="329"/>
      <c r="I17" s="85"/>
      <c r="J17" s="322"/>
      <c r="K17" s="315"/>
      <c r="L17" s="315"/>
    </row>
    <row r="18" spans="1:12" s="78" customFormat="1" ht="14.25" customHeight="1">
      <c r="A18" s="144" t="s">
        <v>339</v>
      </c>
      <c r="D18" s="82"/>
      <c r="E18" s="82"/>
      <c r="F18" s="146"/>
      <c r="G18" s="146"/>
      <c r="H18" s="146"/>
      <c r="I18" s="85"/>
      <c r="J18" s="319"/>
      <c r="K18" s="126"/>
      <c r="L18" s="126"/>
    </row>
    <row r="19" spans="1:10" s="78" customFormat="1" ht="13.5" customHeight="1">
      <c r="A19" s="144" t="s">
        <v>599</v>
      </c>
      <c r="C19" s="338" t="s">
        <v>607</v>
      </c>
      <c r="D19" s="82"/>
      <c r="E19" s="82"/>
      <c r="F19" s="146"/>
      <c r="G19" s="146"/>
      <c r="H19" s="146"/>
      <c r="I19" s="85"/>
      <c r="J19" s="319"/>
    </row>
    <row r="20" spans="1:10" s="78" customFormat="1" ht="15.75" customHeight="1">
      <c r="A20" s="339" t="s">
        <v>252</v>
      </c>
      <c r="C20" s="338" t="s">
        <v>672</v>
      </c>
      <c r="D20" s="340" t="s">
        <v>340</v>
      </c>
      <c r="E20" s="341">
        <v>38306</v>
      </c>
      <c r="F20" s="146">
        <v>8301806</v>
      </c>
      <c r="G20" s="146">
        <v>4517606</v>
      </c>
      <c r="H20" s="146">
        <f aca="true" t="shared" si="0" ref="H20:H57">SUM(F20-G20)</f>
        <v>3784200</v>
      </c>
      <c r="I20" s="85">
        <v>6400</v>
      </c>
      <c r="J20" s="319"/>
    </row>
    <row r="21" spans="1:10" s="78" customFormat="1" ht="15" customHeight="1">
      <c r="A21" s="339" t="s">
        <v>197</v>
      </c>
      <c r="C21" s="338" t="s">
        <v>681</v>
      </c>
      <c r="D21" s="340" t="s">
        <v>341</v>
      </c>
      <c r="E21" s="341">
        <v>38487</v>
      </c>
      <c r="F21" s="146">
        <v>4260758</v>
      </c>
      <c r="G21" s="146">
        <v>1836699</v>
      </c>
      <c r="H21" s="146">
        <f t="shared" si="0"/>
        <v>2424059</v>
      </c>
      <c r="I21" s="85">
        <v>53241</v>
      </c>
      <c r="J21" s="319"/>
    </row>
    <row r="22" spans="1:12" s="78" customFormat="1" ht="15.75" customHeight="1">
      <c r="A22" s="339" t="s">
        <v>198</v>
      </c>
      <c r="C22" s="338" t="s">
        <v>673</v>
      </c>
      <c r="D22" s="340" t="s">
        <v>342</v>
      </c>
      <c r="E22" s="341">
        <v>38579</v>
      </c>
      <c r="F22" s="146">
        <v>9269713</v>
      </c>
      <c r="G22" s="146">
        <v>6037813</v>
      </c>
      <c r="H22" s="146">
        <f t="shared" si="0"/>
        <v>3231900</v>
      </c>
      <c r="I22" s="85">
        <v>176000</v>
      </c>
      <c r="J22" s="319"/>
      <c r="K22" s="315"/>
      <c r="L22" s="77"/>
    </row>
    <row r="23" spans="1:10" s="78" customFormat="1" ht="15" customHeight="1">
      <c r="A23" s="339" t="s">
        <v>253</v>
      </c>
      <c r="C23" s="338" t="s">
        <v>683</v>
      </c>
      <c r="D23" s="340" t="s">
        <v>343</v>
      </c>
      <c r="E23" s="341">
        <v>38763</v>
      </c>
      <c r="F23" s="146">
        <v>4755916</v>
      </c>
      <c r="G23" s="146">
        <v>4413917</v>
      </c>
      <c r="H23" s="146">
        <f t="shared" si="0"/>
        <v>341999</v>
      </c>
      <c r="I23" s="85">
        <v>4825</v>
      </c>
      <c r="J23" s="319"/>
    </row>
    <row r="24" spans="1:12" s="78" customFormat="1" ht="15" customHeight="1">
      <c r="A24" s="339" t="s">
        <v>254</v>
      </c>
      <c r="B24" s="163" t="s">
        <v>560</v>
      </c>
      <c r="C24" s="338" t="s">
        <v>670</v>
      </c>
      <c r="D24" s="340" t="s">
        <v>344</v>
      </c>
      <c r="E24" s="341">
        <v>41958</v>
      </c>
      <c r="F24" s="146">
        <v>5015284</v>
      </c>
      <c r="G24" s="146">
        <v>1795500</v>
      </c>
      <c r="H24" s="146">
        <f t="shared" si="0"/>
        <v>3219784</v>
      </c>
      <c r="I24" s="85">
        <v>105400</v>
      </c>
      <c r="J24" s="319"/>
      <c r="K24" s="126"/>
      <c r="L24" s="126"/>
    </row>
    <row r="25" spans="1:10" s="78" customFormat="1" ht="15" customHeight="1">
      <c r="A25" s="339" t="s">
        <v>255</v>
      </c>
      <c r="C25" s="338" t="s">
        <v>688</v>
      </c>
      <c r="D25" s="340" t="s">
        <v>345</v>
      </c>
      <c r="E25" s="341">
        <v>42050</v>
      </c>
      <c r="F25" s="146">
        <v>10783299</v>
      </c>
      <c r="G25" s="146">
        <v>8610970</v>
      </c>
      <c r="H25" s="146">
        <f t="shared" si="0"/>
        <v>2172329</v>
      </c>
      <c r="I25" s="85">
        <v>498500</v>
      </c>
      <c r="J25" s="319"/>
    </row>
    <row r="26" spans="1:10" s="78" customFormat="1" ht="15.75" customHeight="1">
      <c r="A26" s="339" t="s">
        <v>209</v>
      </c>
      <c r="C26" s="338" t="s">
        <v>689</v>
      </c>
      <c r="D26" s="340" t="s">
        <v>346</v>
      </c>
      <c r="E26" s="341">
        <v>42231</v>
      </c>
      <c r="F26" s="146">
        <v>4023916</v>
      </c>
      <c r="G26" s="146">
        <v>3092890</v>
      </c>
      <c r="H26" s="146">
        <f t="shared" si="0"/>
        <v>931026</v>
      </c>
      <c r="I26" s="85">
        <v>200000</v>
      </c>
      <c r="J26" s="319"/>
    </row>
    <row r="27" spans="1:10" s="78" customFormat="1" ht="15" customHeight="1">
      <c r="A27" s="339" t="s">
        <v>210</v>
      </c>
      <c r="C27" s="338" t="s">
        <v>690</v>
      </c>
      <c r="D27" s="340" t="s">
        <v>347</v>
      </c>
      <c r="E27" s="341">
        <v>42323</v>
      </c>
      <c r="F27" s="146">
        <v>5584859</v>
      </c>
      <c r="G27" s="146">
        <v>3314517</v>
      </c>
      <c r="H27" s="146">
        <f t="shared" si="0"/>
        <v>2270342</v>
      </c>
      <c r="I27" s="85">
        <v>30400</v>
      </c>
      <c r="J27" s="319"/>
    </row>
    <row r="28" spans="1:10" s="78" customFormat="1" ht="15" customHeight="1">
      <c r="A28" s="339" t="s">
        <v>211</v>
      </c>
      <c r="C28" s="338" t="s">
        <v>691</v>
      </c>
      <c r="D28" s="340" t="s">
        <v>348</v>
      </c>
      <c r="E28" s="341">
        <v>42415</v>
      </c>
      <c r="F28" s="146">
        <v>5501754</v>
      </c>
      <c r="G28" s="146">
        <v>5406048</v>
      </c>
      <c r="H28" s="146">
        <f t="shared" si="0"/>
        <v>95706</v>
      </c>
      <c r="I28" s="85">
        <v>158400</v>
      </c>
      <c r="J28" s="319"/>
    </row>
    <row r="29" spans="1:10" s="78" customFormat="1" ht="15.75" customHeight="1">
      <c r="A29" s="339" t="s">
        <v>212</v>
      </c>
      <c r="C29" s="338" t="s">
        <v>668</v>
      </c>
      <c r="D29" s="340" t="s">
        <v>349</v>
      </c>
      <c r="E29" s="341">
        <v>42505</v>
      </c>
      <c r="F29" s="146">
        <v>18823551</v>
      </c>
      <c r="G29" s="146">
        <v>18680118</v>
      </c>
      <c r="H29" s="146">
        <f t="shared" si="0"/>
        <v>143433</v>
      </c>
      <c r="I29" s="85">
        <v>160000</v>
      </c>
      <c r="J29" s="319"/>
    </row>
    <row r="30" spans="1:10" s="78" customFormat="1" ht="15" customHeight="1">
      <c r="A30" s="339" t="s">
        <v>256</v>
      </c>
      <c r="C30" s="338" t="s">
        <v>655</v>
      </c>
      <c r="D30" s="340" t="s">
        <v>350</v>
      </c>
      <c r="E30" s="341">
        <v>42689</v>
      </c>
      <c r="F30" s="146">
        <v>18824448</v>
      </c>
      <c r="G30" s="146">
        <v>17472428</v>
      </c>
      <c r="H30" s="146">
        <f t="shared" si="0"/>
        <v>1352020</v>
      </c>
      <c r="I30" s="85">
        <v>19040</v>
      </c>
      <c r="J30" s="319"/>
    </row>
    <row r="31" spans="1:10" s="78" customFormat="1" ht="15" customHeight="1">
      <c r="A31" s="339" t="s">
        <v>214</v>
      </c>
      <c r="C31" s="338" t="s">
        <v>664</v>
      </c>
      <c r="D31" s="340" t="s">
        <v>351</v>
      </c>
      <c r="E31" s="341">
        <v>42870</v>
      </c>
      <c r="F31" s="146">
        <v>15619169</v>
      </c>
      <c r="G31" s="146">
        <v>7861037</v>
      </c>
      <c r="H31" s="146">
        <f t="shared" si="0"/>
        <v>7758132</v>
      </c>
      <c r="I31" s="85">
        <v>340240</v>
      </c>
      <c r="J31" s="319"/>
    </row>
    <row r="32" spans="1:10" s="78" customFormat="1" ht="15.75" customHeight="1">
      <c r="A32" s="339" t="s">
        <v>215</v>
      </c>
      <c r="C32" s="338" t="s">
        <v>618</v>
      </c>
      <c r="D32" s="340" t="s">
        <v>352</v>
      </c>
      <c r="E32" s="341">
        <v>42962</v>
      </c>
      <c r="F32" s="146">
        <v>11208358</v>
      </c>
      <c r="G32" s="146">
        <v>7609230</v>
      </c>
      <c r="H32" s="146">
        <f t="shared" si="0"/>
        <v>3599128</v>
      </c>
      <c r="I32" s="85">
        <v>1339200</v>
      </c>
      <c r="J32" s="319"/>
    </row>
    <row r="33" spans="1:10" s="78" customFormat="1" ht="15" customHeight="1">
      <c r="A33" s="339" t="s">
        <v>257</v>
      </c>
      <c r="C33" s="338" t="s">
        <v>636</v>
      </c>
      <c r="D33" s="340" t="s">
        <v>353</v>
      </c>
      <c r="E33" s="341">
        <v>43235</v>
      </c>
      <c r="F33" s="146">
        <v>6797439</v>
      </c>
      <c r="G33" s="146">
        <v>3079839</v>
      </c>
      <c r="H33" s="146">
        <f t="shared" si="0"/>
        <v>3717600</v>
      </c>
      <c r="I33" s="85">
        <v>104000</v>
      </c>
      <c r="J33" s="319"/>
    </row>
    <row r="34" spans="1:10" s="78" customFormat="1" ht="15" customHeight="1">
      <c r="A34" s="339" t="s">
        <v>217</v>
      </c>
      <c r="C34" s="338" t="s">
        <v>692</v>
      </c>
      <c r="D34" s="340" t="s">
        <v>354</v>
      </c>
      <c r="E34" s="341">
        <v>43419</v>
      </c>
      <c r="F34" s="146">
        <v>7174470</v>
      </c>
      <c r="G34" s="146">
        <v>3503347</v>
      </c>
      <c r="H34" s="146">
        <f t="shared" si="0"/>
        <v>3671123</v>
      </c>
      <c r="I34" s="85">
        <v>144000</v>
      </c>
      <c r="J34" s="319"/>
    </row>
    <row r="35" spans="1:10" s="78" customFormat="1" ht="15" customHeight="1">
      <c r="A35" s="339" t="s">
        <v>218</v>
      </c>
      <c r="C35" s="338" t="s">
        <v>618</v>
      </c>
      <c r="D35" s="340" t="s">
        <v>355</v>
      </c>
      <c r="E35" s="341">
        <v>43511</v>
      </c>
      <c r="F35" s="146">
        <v>13320498</v>
      </c>
      <c r="G35" s="146">
        <v>7776481</v>
      </c>
      <c r="H35" s="146">
        <f t="shared" si="0"/>
        <v>5544017</v>
      </c>
      <c r="I35" s="85">
        <v>405200</v>
      </c>
      <c r="J35" s="319"/>
    </row>
    <row r="36" spans="1:10" s="78" customFormat="1" ht="15" customHeight="1">
      <c r="A36" s="339" t="s">
        <v>219</v>
      </c>
      <c r="C36" s="338" t="s">
        <v>697</v>
      </c>
      <c r="D36" s="340" t="s">
        <v>356</v>
      </c>
      <c r="E36" s="341">
        <v>43692</v>
      </c>
      <c r="F36" s="146">
        <v>18940932</v>
      </c>
      <c r="G36" s="146">
        <v>17967065</v>
      </c>
      <c r="H36" s="146">
        <f t="shared" si="0"/>
        <v>973867</v>
      </c>
      <c r="I36" s="85">
        <v>365840</v>
      </c>
      <c r="J36" s="319"/>
    </row>
    <row r="37" spans="1:10" s="78" customFormat="1" ht="14.25" customHeight="1">
      <c r="A37" s="339" t="s">
        <v>220</v>
      </c>
      <c r="C37" s="338" t="s">
        <v>662</v>
      </c>
      <c r="D37" s="340" t="s">
        <v>357</v>
      </c>
      <c r="E37" s="341">
        <v>43876</v>
      </c>
      <c r="F37" s="146">
        <v>9656268</v>
      </c>
      <c r="G37" s="146">
        <v>7253708</v>
      </c>
      <c r="H37" s="146">
        <f t="shared" si="0"/>
        <v>2402560</v>
      </c>
      <c r="I37" s="85">
        <v>66200</v>
      </c>
      <c r="J37" s="319"/>
    </row>
    <row r="38" spans="1:10" s="78" customFormat="1" ht="15" customHeight="1">
      <c r="A38" s="339" t="s">
        <v>221</v>
      </c>
      <c r="C38" s="338" t="s">
        <v>664</v>
      </c>
      <c r="D38" s="340" t="s">
        <v>358</v>
      </c>
      <c r="E38" s="341">
        <v>43966</v>
      </c>
      <c r="F38" s="146">
        <v>7707183</v>
      </c>
      <c r="G38" s="146">
        <v>3077678</v>
      </c>
      <c r="H38" s="146">
        <f t="shared" si="0"/>
        <v>4629505</v>
      </c>
      <c r="I38" s="85">
        <v>128040</v>
      </c>
      <c r="J38" s="319"/>
    </row>
    <row r="39" spans="1:10" s="78" customFormat="1" ht="15" customHeight="1">
      <c r="A39" s="339" t="s">
        <v>222</v>
      </c>
      <c r="C39" s="338" t="s">
        <v>664</v>
      </c>
      <c r="D39" s="340" t="s">
        <v>359</v>
      </c>
      <c r="E39" s="341">
        <v>44058</v>
      </c>
      <c r="F39" s="146">
        <v>17259306</v>
      </c>
      <c r="G39" s="146">
        <v>6962056</v>
      </c>
      <c r="H39" s="146">
        <f t="shared" si="0"/>
        <v>10297250</v>
      </c>
      <c r="I39" s="85">
        <v>453320</v>
      </c>
      <c r="J39" s="319"/>
    </row>
    <row r="40" spans="1:10" s="78" customFormat="1" ht="15" customHeight="1">
      <c r="A40" s="339" t="s">
        <v>223</v>
      </c>
      <c r="C40" s="338" t="s">
        <v>658</v>
      </c>
      <c r="D40" s="340" t="s">
        <v>363</v>
      </c>
      <c r="E40" s="341">
        <v>44242</v>
      </c>
      <c r="F40" s="146">
        <v>10195573</v>
      </c>
      <c r="G40" s="146">
        <v>9291773</v>
      </c>
      <c r="H40" s="146">
        <f t="shared" si="0"/>
        <v>903800</v>
      </c>
      <c r="I40" s="85">
        <v>203600</v>
      </c>
      <c r="J40" s="319"/>
    </row>
    <row r="41" spans="1:10" s="78" customFormat="1" ht="15" customHeight="1">
      <c r="A41" s="339" t="s">
        <v>258</v>
      </c>
      <c r="C41" s="338" t="s">
        <v>697</v>
      </c>
      <c r="D41" s="340" t="s">
        <v>364</v>
      </c>
      <c r="E41" s="341">
        <v>44331</v>
      </c>
      <c r="F41" s="146">
        <v>10191788</v>
      </c>
      <c r="G41" s="146">
        <v>4718085</v>
      </c>
      <c r="H41" s="146">
        <f t="shared" si="0"/>
        <v>5473703</v>
      </c>
      <c r="I41" s="85">
        <v>58320</v>
      </c>
      <c r="J41" s="319"/>
    </row>
    <row r="42" spans="1:10" s="78" customFormat="1" ht="15" customHeight="1">
      <c r="A42" s="339" t="s">
        <v>225</v>
      </c>
      <c r="C42" s="338" t="s">
        <v>697</v>
      </c>
      <c r="D42" s="340" t="s">
        <v>365</v>
      </c>
      <c r="E42" s="341">
        <v>44423</v>
      </c>
      <c r="F42" s="146">
        <v>9926382</v>
      </c>
      <c r="G42" s="146">
        <v>7397870</v>
      </c>
      <c r="H42" s="146">
        <f t="shared" si="0"/>
        <v>2528512</v>
      </c>
      <c r="I42" s="85">
        <v>135720</v>
      </c>
      <c r="J42" s="319"/>
    </row>
    <row r="43" spans="1:10" s="78" customFormat="1" ht="15" customHeight="1">
      <c r="A43" s="339" t="s">
        <v>226</v>
      </c>
      <c r="C43" s="338" t="s">
        <v>648</v>
      </c>
      <c r="D43" s="340" t="s">
        <v>366</v>
      </c>
      <c r="E43" s="341">
        <v>44515</v>
      </c>
      <c r="F43" s="146">
        <v>30632194</v>
      </c>
      <c r="G43" s="146">
        <v>16161463</v>
      </c>
      <c r="H43" s="146">
        <f t="shared" si="0"/>
        <v>14470731</v>
      </c>
      <c r="I43" s="85">
        <v>1377863</v>
      </c>
      <c r="J43" s="319"/>
    </row>
    <row r="44" spans="1:10" s="78" customFormat="1" ht="15" customHeight="1">
      <c r="A44" s="339" t="s">
        <v>227</v>
      </c>
      <c r="C44" s="338" t="s">
        <v>668</v>
      </c>
      <c r="D44" s="340" t="s">
        <v>367</v>
      </c>
      <c r="E44" s="341">
        <v>44788</v>
      </c>
      <c r="F44" s="146">
        <v>10227790</v>
      </c>
      <c r="G44" s="146">
        <v>9016991</v>
      </c>
      <c r="H44" s="146">
        <f t="shared" si="0"/>
        <v>1210799</v>
      </c>
      <c r="I44" s="85">
        <v>169900</v>
      </c>
      <c r="J44" s="319"/>
    </row>
    <row r="45" spans="1:10" s="78" customFormat="1" ht="15" customHeight="1">
      <c r="A45" s="339" t="s">
        <v>228</v>
      </c>
      <c r="C45" s="338" t="s">
        <v>671</v>
      </c>
      <c r="D45" s="340" t="s">
        <v>368</v>
      </c>
      <c r="E45" s="341">
        <v>44880</v>
      </c>
      <c r="F45" s="146">
        <v>7423626</v>
      </c>
      <c r="G45" s="146">
        <v>3224631</v>
      </c>
      <c r="H45" s="146">
        <f t="shared" si="0"/>
        <v>4198995</v>
      </c>
      <c r="I45" s="85">
        <v>0</v>
      </c>
      <c r="J45" s="319"/>
    </row>
    <row r="46" spans="1:10" s="78" customFormat="1" ht="15" customHeight="1">
      <c r="A46" s="339" t="s">
        <v>259</v>
      </c>
      <c r="C46" s="338" t="s">
        <v>652</v>
      </c>
      <c r="D46" s="340" t="s">
        <v>369</v>
      </c>
      <c r="E46" s="341">
        <v>44972</v>
      </c>
      <c r="F46" s="146">
        <v>16152061</v>
      </c>
      <c r="G46" s="146">
        <v>10108861</v>
      </c>
      <c r="H46" s="146">
        <f t="shared" si="0"/>
        <v>6043200</v>
      </c>
      <c r="I46" s="85">
        <v>201400</v>
      </c>
      <c r="J46" s="319"/>
    </row>
    <row r="47" spans="1:10" s="78" customFormat="1" ht="15" customHeight="1">
      <c r="A47" s="339" t="s">
        <v>230</v>
      </c>
      <c r="C47" s="338" t="s">
        <v>628</v>
      </c>
      <c r="D47" s="340" t="s">
        <v>370</v>
      </c>
      <c r="E47" s="341">
        <v>45153</v>
      </c>
      <c r="F47" s="146">
        <v>22659044</v>
      </c>
      <c r="G47" s="146">
        <v>19303456</v>
      </c>
      <c r="H47" s="146">
        <f t="shared" si="0"/>
        <v>3355588</v>
      </c>
      <c r="I47" s="85">
        <v>138304</v>
      </c>
      <c r="J47" s="319"/>
    </row>
    <row r="48" spans="1:10" s="78" customFormat="1" ht="15" customHeight="1">
      <c r="A48" s="339" t="s">
        <v>231</v>
      </c>
      <c r="C48" s="338" t="s">
        <v>655</v>
      </c>
      <c r="D48" s="340" t="s">
        <v>371</v>
      </c>
      <c r="E48" s="341">
        <v>45611</v>
      </c>
      <c r="F48" s="146">
        <v>9704162</v>
      </c>
      <c r="G48" s="146">
        <v>3786002</v>
      </c>
      <c r="H48" s="146">
        <f t="shared" si="0"/>
        <v>5918160</v>
      </c>
      <c r="I48" s="85">
        <v>101520</v>
      </c>
      <c r="J48" s="319"/>
    </row>
    <row r="49" spans="1:10" s="78" customFormat="1" ht="15" customHeight="1">
      <c r="A49" s="339" t="s">
        <v>232</v>
      </c>
      <c r="C49" s="338" t="s">
        <v>671</v>
      </c>
      <c r="D49" s="340" t="s">
        <v>372</v>
      </c>
      <c r="E49" s="341">
        <v>45703</v>
      </c>
      <c r="F49" s="146">
        <v>10019170</v>
      </c>
      <c r="G49" s="146">
        <v>4065369</v>
      </c>
      <c r="H49" s="146">
        <f t="shared" si="0"/>
        <v>5953801</v>
      </c>
      <c r="I49" s="85">
        <v>244800</v>
      </c>
      <c r="J49" s="319"/>
    </row>
    <row r="50" spans="1:10" s="78" customFormat="1" ht="15" customHeight="1">
      <c r="A50" s="339" t="s">
        <v>233</v>
      </c>
      <c r="C50" s="338" t="s">
        <v>646</v>
      </c>
      <c r="D50" s="340" t="s">
        <v>373</v>
      </c>
      <c r="E50" s="341">
        <v>45884</v>
      </c>
      <c r="F50" s="146">
        <v>11267207</v>
      </c>
      <c r="G50" s="146">
        <v>7876245</v>
      </c>
      <c r="H50" s="146">
        <f t="shared" si="0"/>
        <v>3390962</v>
      </c>
      <c r="I50" s="85">
        <v>552320</v>
      </c>
      <c r="J50" s="319"/>
    </row>
    <row r="51" spans="1:10" s="78" customFormat="1" ht="15" customHeight="1">
      <c r="A51" s="339" t="s">
        <v>234</v>
      </c>
      <c r="C51" s="338" t="s">
        <v>643</v>
      </c>
      <c r="D51" s="340" t="s">
        <v>374</v>
      </c>
      <c r="E51" s="341">
        <v>46068</v>
      </c>
      <c r="F51" s="146">
        <v>12837916</v>
      </c>
      <c r="G51" s="146">
        <v>11898316</v>
      </c>
      <c r="H51" s="146">
        <f t="shared" si="0"/>
        <v>939600</v>
      </c>
      <c r="I51" s="85">
        <v>250600</v>
      </c>
      <c r="J51" s="319"/>
    </row>
    <row r="52" spans="1:10" s="78" customFormat="1" ht="15" customHeight="1">
      <c r="A52" s="339" t="s">
        <v>235</v>
      </c>
      <c r="C52" s="342">
        <v>6.75</v>
      </c>
      <c r="D52" s="340" t="s">
        <v>375</v>
      </c>
      <c r="E52" s="341">
        <v>46249</v>
      </c>
      <c r="F52" s="146">
        <v>9000418</v>
      </c>
      <c r="G52" s="146">
        <v>6096200</v>
      </c>
      <c r="H52" s="146">
        <f t="shared" si="0"/>
        <v>2904218</v>
      </c>
      <c r="I52" s="85">
        <v>202400</v>
      </c>
      <c r="J52" s="319"/>
    </row>
    <row r="53" spans="1:10" s="78" customFormat="1" ht="14.25" customHeight="1">
      <c r="A53" s="339" t="s">
        <v>260</v>
      </c>
      <c r="C53" s="338" t="s">
        <v>633</v>
      </c>
      <c r="D53" s="340" t="s">
        <v>376</v>
      </c>
      <c r="E53" s="341">
        <v>46341</v>
      </c>
      <c r="F53" s="146">
        <v>10870177</v>
      </c>
      <c r="G53" s="146">
        <v>5201527</v>
      </c>
      <c r="H53" s="146">
        <f t="shared" si="0"/>
        <v>5668650</v>
      </c>
      <c r="I53" s="85">
        <v>304200</v>
      </c>
      <c r="J53" s="319"/>
    </row>
    <row r="54" spans="1:9" s="78" customFormat="1" ht="15" customHeight="1">
      <c r="A54" s="339" t="s">
        <v>236</v>
      </c>
      <c r="C54" s="343" t="s">
        <v>666</v>
      </c>
      <c r="D54" s="340" t="s">
        <v>377</v>
      </c>
      <c r="E54" s="341">
        <v>46433</v>
      </c>
      <c r="F54" s="146">
        <v>9601971</v>
      </c>
      <c r="G54" s="146">
        <v>6126716</v>
      </c>
      <c r="H54" s="146">
        <f t="shared" si="0"/>
        <v>3475255</v>
      </c>
      <c r="I54" s="85">
        <v>132150</v>
      </c>
    </row>
    <row r="55" spans="1:9" s="78" customFormat="1" ht="15" customHeight="1">
      <c r="A55" s="339" t="s">
        <v>237</v>
      </c>
      <c r="C55" s="343" t="s">
        <v>612</v>
      </c>
      <c r="D55" s="340" t="s">
        <v>378</v>
      </c>
      <c r="E55" s="341">
        <v>46614</v>
      </c>
      <c r="F55" s="146">
        <v>9356756</v>
      </c>
      <c r="G55" s="146">
        <v>7396356</v>
      </c>
      <c r="H55" s="146">
        <f t="shared" si="0"/>
        <v>1960400</v>
      </c>
      <c r="I55" s="85">
        <v>291800</v>
      </c>
    </row>
    <row r="56" spans="1:9" s="78" customFormat="1" ht="14.25" customHeight="1">
      <c r="A56" s="339" t="s">
        <v>238</v>
      </c>
      <c r="C56" s="343" t="s">
        <v>663</v>
      </c>
      <c r="D56" s="340" t="s">
        <v>379</v>
      </c>
      <c r="E56" s="341">
        <v>46706</v>
      </c>
      <c r="F56" s="146">
        <v>22021339</v>
      </c>
      <c r="G56" s="146">
        <v>11898639</v>
      </c>
      <c r="H56" s="146">
        <f t="shared" si="0"/>
        <v>10122700</v>
      </c>
      <c r="I56" s="85">
        <v>423800</v>
      </c>
    </row>
    <row r="57" spans="1:9" s="78" customFormat="1" ht="15" customHeight="1">
      <c r="A57" s="308" t="s">
        <v>239</v>
      </c>
      <c r="C57" s="343" t="s">
        <v>622</v>
      </c>
      <c r="D57" s="344" t="s">
        <v>380</v>
      </c>
      <c r="E57" s="341">
        <v>46980</v>
      </c>
      <c r="F57" s="146">
        <v>11776201</v>
      </c>
      <c r="G57" s="146">
        <v>11009101</v>
      </c>
      <c r="H57" s="146">
        <f t="shared" si="0"/>
        <v>767100</v>
      </c>
      <c r="I57" s="85">
        <v>0</v>
      </c>
    </row>
    <row r="58" spans="1:9" s="78" customFormat="1" ht="15" customHeight="1">
      <c r="A58" s="308" t="s">
        <v>240</v>
      </c>
      <c r="C58" s="343" t="s">
        <v>665</v>
      </c>
      <c r="D58" s="344" t="s">
        <v>381</v>
      </c>
      <c r="E58" s="341">
        <v>47072</v>
      </c>
      <c r="F58" s="146">
        <v>10947052</v>
      </c>
      <c r="G58" s="146">
        <v>10350852</v>
      </c>
      <c r="H58" s="146">
        <f>SUM(F58-G58)</f>
        <v>596200</v>
      </c>
      <c r="I58" s="85">
        <v>0</v>
      </c>
    </row>
    <row r="59" spans="1:10" s="78" customFormat="1" ht="15" customHeight="1">
      <c r="A59" s="308" t="s">
        <v>241</v>
      </c>
      <c r="C59" s="343" t="s">
        <v>665</v>
      </c>
      <c r="D59" s="344" t="s">
        <v>893</v>
      </c>
      <c r="E59" s="341">
        <v>47164</v>
      </c>
      <c r="F59" s="146">
        <v>11350341</v>
      </c>
      <c r="G59" s="146">
        <v>10881045</v>
      </c>
      <c r="H59" s="146">
        <f>SUM(F59-G59)</f>
        <v>469296</v>
      </c>
      <c r="I59" s="85">
        <v>74400</v>
      </c>
      <c r="J59" s="431"/>
    </row>
    <row r="60" spans="1:9" s="78" customFormat="1" ht="15" customHeight="1">
      <c r="A60" s="308" t="s">
        <v>242</v>
      </c>
      <c r="C60" s="343" t="s">
        <v>663</v>
      </c>
      <c r="D60" s="340" t="s">
        <v>123</v>
      </c>
      <c r="E60" s="341">
        <v>47345</v>
      </c>
      <c r="F60" s="146">
        <v>11178580</v>
      </c>
      <c r="G60" s="146">
        <v>10417180</v>
      </c>
      <c r="H60" s="146">
        <f>SUM(F60-G60)</f>
        <v>761400</v>
      </c>
      <c r="I60" s="85">
        <v>89400</v>
      </c>
    </row>
    <row r="61" spans="1:9" s="78" customFormat="1" ht="15" customHeight="1">
      <c r="A61" s="308" t="s">
        <v>243</v>
      </c>
      <c r="C61" s="338" t="s">
        <v>628</v>
      </c>
      <c r="D61" s="340" t="s">
        <v>319</v>
      </c>
      <c r="E61" s="341">
        <v>47618</v>
      </c>
      <c r="F61" s="146">
        <v>17043162</v>
      </c>
      <c r="G61" s="146">
        <v>16259162</v>
      </c>
      <c r="H61" s="146">
        <f>SUM(F61-G61)</f>
        <v>784000</v>
      </c>
      <c r="I61" s="85">
        <v>25728</v>
      </c>
    </row>
    <row r="62" spans="1:9" s="78" customFormat="1" ht="15" customHeight="1">
      <c r="A62" s="339" t="s">
        <v>129</v>
      </c>
      <c r="C62" s="343" t="s">
        <v>661</v>
      </c>
      <c r="D62" s="340" t="s">
        <v>281</v>
      </c>
      <c r="E62" s="341">
        <v>47894</v>
      </c>
      <c r="F62" s="146">
        <v>16427648</v>
      </c>
      <c r="G62" s="146">
        <v>16317248</v>
      </c>
      <c r="H62" s="146">
        <f>SUM(F62-G62)</f>
        <v>110400</v>
      </c>
      <c r="I62" s="85">
        <v>28800</v>
      </c>
    </row>
    <row r="63" spans="4:9" s="78" customFormat="1" ht="14.25" customHeight="1">
      <c r="D63" s="345"/>
      <c r="E63" s="346"/>
      <c r="F63" s="345"/>
      <c r="G63" s="345"/>
      <c r="H63" s="345"/>
      <c r="I63" s="85"/>
    </row>
    <row r="64" spans="1:9" s="78" customFormat="1" ht="15" customHeight="1">
      <c r="A64" s="315" t="s">
        <v>503</v>
      </c>
      <c r="B64" s="338"/>
      <c r="C64" s="343"/>
      <c r="D64" s="340" t="s">
        <v>560</v>
      </c>
      <c r="E64" s="347"/>
      <c r="F64" s="146">
        <f>SUM(F20:F63)</f>
        <v>503639485</v>
      </c>
      <c r="G64" s="146">
        <f>SUM(G20:G63)</f>
        <v>359072035</v>
      </c>
      <c r="H64" s="146">
        <f>SUM(H20:H63)</f>
        <v>144567450</v>
      </c>
      <c r="I64" s="85">
        <f>SUM(I20:I63)</f>
        <v>9765271</v>
      </c>
    </row>
    <row r="65" spans="1:9" s="78" customFormat="1" ht="12.75" customHeight="1">
      <c r="A65" s="315"/>
      <c r="B65" s="338"/>
      <c r="C65" s="343"/>
      <c r="D65" s="348"/>
      <c r="E65" s="349"/>
      <c r="F65" s="350"/>
      <c r="G65" s="350"/>
      <c r="H65" s="350"/>
      <c r="I65" s="85"/>
    </row>
    <row r="66" spans="1:10" s="78" customFormat="1" ht="14.25" customHeight="1">
      <c r="A66" s="144" t="s">
        <v>698</v>
      </c>
      <c r="D66" s="82"/>
      <c r="E66" s="351"/>
      <c r="F66" s="146"/>
      <c r="G66" s="146"/>
      <c r="H66" s="146"/>
      <c r="I66" s="85"/>
      <c r="J66" s="319"/>
    </row>
    <row r="67" spans="1:10" s="78" customFormat="1" ht="15" customHeight="1">
      <c r="A67" s="144" t="s">
        <v>599</v>
      </c>
      <c r="B67" s="77" t="s">
        <v>606</v>
      </c>
      <c r="C67" s="338" t="s">
        <v>607</v>
      </c>
      <c r="D67" s="82"/>
      <c r="E67" s="351"/>
      <c r="F67" s="146"/>
      <c r="G67" s="146"/>
      <c r="H67" s="146"/>
      <c r="I67" s="85"/>
      <c r="J67" s="319"/>
    </row>
    <row r="68" spans="1:9" s="78" customFormat="1" ht="15" customHeight="1">
      <c r="A68" s="339" t="s">
        <v>244</v>
      </c>
      <c r="B68" s="338" t="s">
        <v>614</v>
      </c>
      <c r="C68" s="343" t="s">
        <v>699</v>
      </c>
      <c r="D68" s="340" t="s">
        <v>417</v>
      </c>
      <c r="E68" s="341">
        <v>37452</v>
      </c>
      <c r="F68" s="146">
        <v>18595287</v>
      </c>
      <c r="G68" s="146">
        <v>18595287</v>
      </c>
      <c r="H68" s="146">
        <f aca="true" t="shared" si="1" ref="H68:H73">SUM(F68-G68)</f>
        <v>0</v>
      </c>
      <c r="I68" s="85">
        <v>0</v>
      </c>
    </row>
    <row r="69" spans="1:9" s="78" customFormat="1" ht="15" customHeight="1">
      <c r="A69" s="339" t="s">
        <v>245</v>
      </c>
      <c r="B69" s="338" t="s">
        <v>617</v>
      </c>
      <c r="C69" s="343" t="s">
        <v>700</v>
      </c>
      <c r="D69" s="340" t="s">
        <v>418</v>
      </c>
      <c r="E69" s="341">
        <v>39097</v>
      </c>
      <c r="F69" s="146">
        <v>17612999</v>
      </c>
      <c r="G69" s="146">
        <v>17612999</v>
      </c>
      <c r="H69" s="146">
        <f t="shared" si="1"/>
        <v>0</v>
      </c>
      <c r="I69" s="85">
        <v>0</v>
      </c>
    </row>
    <row r="70" spans="1:9" s="78" customFormat="1" ht="15" customHeight="1">
      <c r="A70" s="339" t="s">
        <v>246</v>
      </c>
      <c r="B70" s="338" t="s">
        <v>617</v>
      </c>
      <c r="C70" s="343" t="s">
        <v>699</v>
      </c>
      <c r="D70" s="340" t="s">
        <v>419</v>
      </c>
      <c r="E70" s="347">
        <v>39462</v>
      </c>
      <c r="F70" s="146">
        <v>18427812</v>
      </c>
      <c r="G70" s="146">
        <v>18318198</v>
      </c>
      <c r="H70" s="146">
        <f t="shared" si="1"/>
        <v>109614</v>
      </c>
      <c r="I70" s="85">
        <v>0</v>
      </c>
    </row>
    <row r="71" spans="1:9" s="78" customFormat="1" ht="15" customHeight="1">
      <c r="A71" s="339" t="s">
        <v>247</v>
      </c>
      <c r="B71" s="338" t="s">
        <v>617</v>
      </c>
      <c r="C71" s="343" t="s">
        <v>324</v>
      </c>
      <c r="D71" s="340" t="s">
        <v>325</v>
      </c>
      <c r="E71" s="347">
        <v>39828</v>
      </c>
      <c r="F71" s="146">
        <v>17171408</v>
      </c>
      <c r="G71" s="146">
        <v>17171408</v>
      </c>
      <c r="H71" s="146">
        <f t="shared" si="1"/>
        <v>0</v>
      </c>
      <c r="I71" s="85">
        <v>0</v>
      </c>
    </row>
    <row r="72" spans="1:9" s="78" customFormat="1" ht="15" customHeight="1">
      <c r="A72" s="339" t="s">
        <v>248</v>
      </c>
      <c r="B72" s="338" t="s">
        <v>617</v>
      </c>
      <c r="C72" s="343" t="s">
        <v>667</v>
      </c>
      <c r="D72" s="340" t="s">
        <v>569</v>
      </c>
      <c r="E72" s="347">
        <v>40193</v>
      </c>
      <c r="F72" s="146">
        <v>11915880</v>
      </c>
      <c r="G72" s="146">
        <v>11915880</v>
      </c>
      <c r="H72" s="146">
        <f t="shared" si="1"/>
        <v>0</v>
      </c>
      <c r="I72" s="85">
        <v>0</v>
      </c>
    </row>
    <row r="73" spans="1:9" s="78" customFormat="1" ht="15" customHeight="1">
      <c r="A73" s="339" t="s">
        <v>710</v>
      </c>
      <c r="B73" s="338" t="s">
        <v>617</v>
      </c>
      <c r="C73" s="343" t="s">
        <v>711</v>
      </c>
      <c r="D73" s="340" t="s">
        <v>785</v>
      </c>
      <c r="E73" s="347">
        <v>40558</v>
      </c>
      <c r="F73" s="146">
        <v>11193334</v>
      </c>
      <c r="G73" s="146">
        <v>11193334</v>
      </c>
      <c r="H73" s="146">
        <f t="shared" si="1"/>
        <v>0</v>
      </c>
      <c r="I73" s="85">
        <v>0</v>
      </c>
    </row>
    <row r="74" spans="1:9" s="78" customFormat="1" ht="15" customHeight="1">
      <c r="A74" s="339" t="s">
        <v>46</v>
      </c>
      <c r="B74" s="338" t="s">
        <v>617</v>
      </c>
      <c r="C74" s="343" t="s">
        <v>700</v>
      </c>
      <c r="D74" s="340" t="s">
        <v>58</v>
      </c>
      <c r="E74" s="347">
        <v>40923</v>
      </c>
      <c r="F74" s="146">
        <v>6004283</v>
      </c>
      <c r="G74" s="146">
        <v>6004283</v>
      </c>
      <c r="H74" s="146">
        <f>SUM(F74-G74)</f>
        <v>0</v>
      </c>
      <c r="I74" s="85">
        <v>0</v>
      </c>
    </row>
    <row r="75" spans="1:9" s="78" customFormat="1" ht="15" customHeight="1">
      <c r="A75" s="339"/>
      <c r="B75" s="338"/>
      <c r="C75" s="343"/>
      <c r="D75" s="340"/>
      <c r="E75" s="347"/>
      <c r="F75" s="146"/>
      <c r="G75" s="146"/>
      <c r="H75" s="146"/>
      <c r="I75" s="85"/>
    </row>
    <row r="76" spans="1:9" s="78" customFormat="1" ht="15" customHeight="1">
      <c r="A76" s="315" t="s">
        <v>504</v>
      </c>
      <c r="B76" s="338"/>
      <c r="C76" s="343"/>
      <c r="D76" s="340" t="s">
        <v>560</v>
      </c>
      <c r="E76" s="347"/>
      <c r="F76" s="146">
        <f>SUM(F68:F75)+1</f>
        <v>100921004</v>
      </c>
      <c r="G76" s="146">
        <f>SUM(G68:G75)+1</f>
        <v>100811390</v>
      </c>
      <c r="H76" s="146">
        <f>SUM(H68:H75)</f>
        <v>109614</v>
      </c>
      <c r="I76" s="85">
        <v>0</v>
      </c>
    </row>
    <row r="77" spans="1:9" s="78" customFormat="1" ht="15" customHeight="1">
      <c r="A77" s="315"/>
      <c r="B77" s="338"/>
      <c r="C77" s="343"/>
      <c r="D77" s="340"/>
      <c r="E77" s="347"/>
      <c r="F77" s="146"/>
      <c r="G77" s="146"/>
      <c r="H77" s="146"/>
      <c r="I77" s="85"/>
    </row>
    <row r="78" spans="1:9" s="78" customFormat="1" ht="15" customHeight="1">
      <c r="A78" s="144" t="s">
        <v>701</v>
      </c>
      <c r="D78" s="82"/>
      <c r="E78" s="351"/>
      <c r="F78" s="146"/>
      <c r="G78" s="146"/>
      <c r="H78" s="146"/>
      <c r="I78" s="85"/>
    </row>
    <row r="79" spans="1:9" s="78" customFormat="1" ht="15" customHeight="1">
      <c r="A79" s="144" t="s">
        <v>599</v>
      </c>
      <c r="B79" s="77"/>
      <c r="C79" s="338" t="s">
        <v>607</v>
      </c>
      <c r="D79" s="82"/>
      <c r="E79" s="351"/>
      <c r="F79" s="146"/>
      <c r="G79" s="146"/>
      <c r="H79" s="146"/>
      <c r="I79" s="85"/>
    </row>
    <row r="80" spans="1:9" s="78" customFormat="1" ht="15" customHeight="1">
      <c r="A80" s="339" t="s">
        <v>249</v>
      </c>
      <c r="B80" s="338"/>
      <c r="C80" s="343" t="s">
        <v>699</v>
      </c>
      <c r="D80" s="340" t="s">
        <v>420</v>
      </c>
      <c r="E80" s="341">
        <v>46858</v>
      </c>
      <c r="F80" s="146">
        <v>18403434</v>
      </c>
      <c r="G80" s="146">
        <v>18397960</v>
      </c>
      <c r="H80" s="146">
        <f>SUM(F80-G80)</f>
        <v>5474</v>
      </c>
      <c r="I80" s="85">
        <v>0</v>
      </c>
    </row>
    <row r="81" spans="1:9" s="78" customFormat="1" ht="15" customHeight="1">
      <c r="A81" s="339" t="s">
        <v>250</v>
      </c>
      <c r="B81" s="338"/>
      <c r="C81" s="343" t="s">
        <v>324</v>
      </c>
      <c r="D81" s="340" t="s">
        <v>564</v>
      </c>
      <c r="E81" s="341">
        <v>47223</v>
      </c>
      <c r="F81" s="146">
        <v>21245045</v>
      </c>
      <c r="G81" s="146">
        <v>21110392</v>
      </c>
      <c r="H81" s="146">
        <f>SUM(F81-G81)</f>
        <v>134653</v>
      </c>
      <c r="I81" s="85">
        <v>0</v>
      </c>
    </row>
    <row r="82" spans="1:9" s="78" customFormat="1" ht="15" customHeight="1">
      <c r="A82" s="339" t="s">
        <v>753</v>
      </c>
      <c r="B82" s="338"/>
      <c r="C82" s="364" t="s">
        <v>700</v>
      </c>
      <c r="D82" s="340" t="s">
        <v>754</v>
      </c>
      <c r="E82" s="341">
        <v>48319</v>
      </c>
      <c r="F82" s="146">
        <v>5012235</v>
      </c>
      <c r="G82" s="146">
        <v>5012235</v>
      </c>
      <c r="H82" s="146">
        <f>SUM(F82-G82)</f>
        <v>0</v>
      </c>
      <c r="I82" s="85">
        <v>0</v>
      </c>
    </row>
    <row r="83" spans="1:9" s="78" customFormat="1" ht="15" customHeight="1">
      <c r="A83" s="339"/>
      <c r="B83" s="338"/>
      <c r="C83" s="343"/>
      <c r="D83" s="340"/>
      <c r="E83" s="352"/>
      <c r="F83" s="146"/>
      <c r="G83" s="146"/>
      <c r="H83" s="146"/>
      <c r="I83" s="85"/>
    </row>
    <row r="84" spans="1:9" s="78" customFormat="1" ht="15" customHeight="1">
      <c r="A84" s="315" t="s">
        <v>421</v>
      </c>
      <c r="B84" s="338"/>
      <c r="C84" s="343"/>
      <c r="D84" s="340" t="s">
        <v>560</v>
      </c>
      <c r="E84" s="353"/>
      <c r="F84" s="146">
        <f>SUM(F78:F82)</f>
        <v>44660714</v>
      </c>
      <c r="G84" s="146">
        <f>SUM(G78:G82)</f>
        <v>44520587</v>
      </c>
      <c r="H84" s="354">
        <f>SUM(H77:H82)</f>
        <v>140127</v>
      </c>
      <c r="I84" s="85">
        <f>SUM(I80:I82)</f>
        <v>0</v>
      </c>
    </row>
    <row r="85" spans="1:9" s="78" customFormat="1" ht="15" customHeight="1">
      <c r="A85" s="315"/>
      <c r="B85" s="338"/>
      <c r="C85" s="343"/>
      <c r="D85" s="355"/>
      <c r="E85" s="356"/>
      <c r="F85" s="186"/>
      <c r="G85" s="186"/>
      <c r="H85" s="186"/>
      <c r="I85" s="186"/>
    </row>
    <row r="86" spans="1:9" s="78" customFormat="1" ht="15" customHeight="1">
      <c r="A86" s="315"/>
      <c r="B86" s="338"/>
      <c r="C86" s="343"/>
      <c r="D86" s="355"/>
      <c r="E86" s="356"/>
      <c r="F86" s="186"/>
      <c r="G86" s="186"/>
      <c r="H86" s="186"/>
      <c r="I86" s="186"/>
    </row>
    <row r="87" spans="1:9" s="112" customFormat="1" ht="15" customHeight="1" thickBot="1">
      <c r="A87" s="357"/>
      <c r="B87" s="358"/>
      <c r="C87" s="359"/>
      <c r="D87" s="360"/>
      <c r="E87" s="361"/>
      <c r="F87" s="362"/>
      <c r="G87" s="362"/>
      <c r="H87" s="362"/>
      <c r="I87" s="362"/>
    </row>
    <row r="88" spans="1:10" s="78" customFormat="1" ht="16.5" thickTop="1">
      <c r="A88" s="75"/>
      <c r="B88" s="76" t="s">
        <v>18</v>
      </c>
      <c r="C88" s="76"/>
      <c r="D88" s="76"/>
      <c r="E88" s="77"/>
      <c r="F88" s="77"/>
      <c r="G88" s="77"/>
      <c r="H88" s="77"/>
      <c r="I88" s="77"/>
      <c r="J88" s="75">
        <v>11</v>
      </c>
    </row>
    <row r="89" spans="1:10" s="78" customFormat="1" ht="10.5" customHeight="1" thickBot="1">
      <c r="A89" s="112"/>
      <c r="B89" s="112"/>
      <c r="C89" s="112"/>
      <c r="D89" s="112"/>
      <c r="E89" s="112"/>
      <c r="F89" s="112"/>
      <c r="G89" s="112"/>
      <c r="H89" s="112"/>
      <c r="I89" s="112"/>
      <c r="J89" s="112"/>
    </row>
    <row r="90" spans="1:10" s="78" customFormat="1" ht="15" customHeight="1" thickTop="1">
      <c r="A90" s="79"/>
      <c r="B90" s="79"/>
      <c r="C90" s="79"/>
      <c r="D90" s="80"/>
      <c r="E90" s="80"/>
      <c r="F90" s="80"/>
      <c r="G90" s="79"/>
      <c r="H90" s="79"/>
      <c r="I90" s="81"/>
      <c r="J90" s="79"/>
    </row>
    <row r="91" spans="4:10" s="78" customFormat="1" ht="15" customHeight="1">
      <c r="D91" s="329" t="s">
        <v>326</v>
      </c>
      <c r="E91" s="82"/>
      <c r="F91" s="330" t="s">
        <v>775</v>
      </c>
      <c r="G91" s="77"/>
      <c r="H91" s="77"/>
      <c r="I91" s="302"/>
      <c r="J91" s="319"/>
    </row>
    <row r="92" spans="1:10" s="78" customFormat="1" ht="15" customHeight="1">
      <c r="A92" s="77" t="s">
        <v>591</v>
      </c>
      <c r="B92" s="77"/>
      <c r="C92" s="77"/>
      <c r="D92" s="329" t="s">
        <v>327</v>
      </c>
      <c r="E92" s="329" t="s">
        <v>328</v>
      </c>
      <c r="F92" s="82"/>
      <c r="I92" s="331" t="s">
        <v>329</v>
      </c>
      <c r="J92" s="320"/>
    </row>
    <row r="93" spans="4:10" s="78" customFormat="1" ht="15" customHeight="1">
      <c r="D93" s="329" t="s">
        <v>334</v>
      </c>
      <c r="E93" s="82"/>
      <c r="F93" s="332" t="s">
        <v>335</v>
      </c>
      <c r="G93" s="332" t="s">
        <v>336</v>
      </c>
      <c r="H93" s="332" t="s">
        <v>336</v>
      </c>
      <c r="I93" s="333" t="s">
        <v>823</v>
      </c>
      <c r="J93" s="66"/>
    </row>
    <row r="94" spans="1:10" s="78" customFormat="1" ht="15" customHeight="1">
      <c r="A94" s="83"/>
      <c r="B94" s="83"/>
      <c r="C94" s="83"/>
      <c r="D94" s="84"/>
      <c r="E94" s="84"/>
      <c r="F94" s="334" t="s">
        <v>563</v>
      </c>
      <c r="G94" s="335" t="s">
        <v>337</v>
      </c>
      <c r="H94" s="335" t="s">
        <v>338</v>
      </c>
      <c r="I94" s="336"/>
      <c r="J94" s="328"/>
    </row>
    <row r="95" spans="1:10" s="78" customFormat="1" ht="14.25" customHeight="1">
      <c r="A95" s="126"/>
      <c r="B95" s="126"/>
      <c r="C95" s="126"/>
      <c r="D95" s="82"/>
      <c r="E95" s="82"/>
      <c r="F95" s="337"/>
      <c r="G95" s="329"/>
      <c r="H95" s="329"/>
      <c r="I95" s="85"/>
      <c r="J95" s="322"/>
    </row>
    <row r="96" spans="1:10" s="78" customFormat="1" ht="14.25" customHeight="1">
      <c r="A96" s="144" t="s">
        <v>605</v>
      </c>
      <c r="D96" s="82"/>
      <c r="E96" s="82"/>
      <c r="F96" s="82"/>
      <c r="G96" s="82"/>
      <c r="H96" s="82"/>
      <c r="I96" s="85"/>
      <c r="J96" s="319"/>
    </row>
    <row r="97" spans="1:10" s="78" customFormat="1" ht="15" customHeight="1">
      <c r="A97" s="144" t="s">
        <v>599</v>
      </c>
      <c r="B97" s="77" t="s">
        <v>606</v>
      </c>
      <c r="C97" s="338" t="s">
        <v>607</v>
      </c>
      <c r="D97" s="82"/>
      <c r="E97" s="82"/>
      <c r="F97" s="82"/>
      <c r="G97" s="82"/>
      <c r="H97" s="82"/>
      <c r="I97" s="85"/>
      <c r="J97" s="319"/>
    </row>
    <row r="98" spans="1:9" s="78" customFormat="1" ht="14.25" customHeight="1">
      <c r="A98" s="308" t="s">
        <v>529</v>
      </c>
      <c r="B98" s="338" t="s">
        <v>629</v>
      </c>
      <c r="C98" s="343" t="s">
        <v>666</v>
      </c>
      <c r="D98" s="340" t="s">
        <v>50</v>
      </c>
      <c r="E98" s="341">
        <v>37376</v>
      </c>
      <c r="F98" s="146">
        <v>14474673</v>
      </c>
      <c r="G98" s="146">
        <v>14474673</v>
      </c>
      <c r="H98" s="146">
        <f>SUM(F98-G98)</f>
        <v>0</v>
      </c>
      <c r="I98" s="85">
        <v>0</v>
      </c>
    </row>
    <row r="99" spans="1:9" s="78" customFormat="1" ht="14.25" customHeight="1">
      <c r="A99" s="339" t="s">
        <v>134</v>
      </c>
      <c r="B99" s="338" t="s">
        <v>660</v>
      </c>
      <c r="C99" s="343" t="s">
        <v>612</v>
      </c>
      <c r="D99" s="340" t="s">
        <v>321</v>
      </c>
      <c r="E99" s="341">
        <v>37376</v>
      </c>
      <c r="F99" s="146">
        <v>17390900</v>
      </c>
      <c r="G99" s="146">
        <v>17384500</v>
      </c>
      <c r="H99" s="146">
        <f>SUM(F99-G99)</f>
        <v>6400</v>
      </c>
      <c r="I99" s="85">
        <v>0</v>
      </c>
    </row>
    <row r="100" spans="1:9" s="78" customFormat="1" ht="14.25" customHeight="1">
      <c r="A100" s="339" t="s">
        <v>182</v>
      </c>
      <c r="B100" s="338" t="s">
        <v>617</v>
      </c>
      <c r="C100" s="338" t="s">
        <v>655</v>
      </c>
      <c r="D100" s="340" t="s">
        <v>382</v>
      </c>
      <c r="E100" s="341">
        <v>37391</v>
      </c>
      <c r="F100" s="146">
        <v>11714397</v>
      </c>
      <c r="G100" s="146">
        <v>7463117</v>
      </c>
      <c r="H100" s="146">
        <f aca="true" t="shared" si="2" ref="H100:H132">SUM(F100-G100)</f>
        <v>4251280</v>
      </c>
      <c r="I100" s="85">
        <v>14000</v>
      </c>
    </row>
    <row r="101" spans="1:9" s="78" customFormat="1" ht="14.25" customHeight="1">
      <c r="A101" s="308" t="s">
        <v>135</v>
      </c>
      <c r="B101" s="338" t="s">
        <v>644</v>
      </c>
      <c r="C101" s="338" t="s">
        <v>633</v>
      </c>
      <c r="D101" s="340" t="s">
        <v>261</v>
      </c>
      <c r="E101" s="341">
        <v>37407</v>
      </c>
      <c r="F101" s="146">
        <v>13503890</v>
      </c>
      <c r="G101" s="146">
        <v>13503890</v>
      </c>
      <c r="H101" s="146">
        <f>SUM(F101-G101)</f>
        <v>0</v>
      </c>
      <c r="I101" s="85">
        <v>0</v>
      </c>
    </row>
    <row r="102" spans="1:9" s="78" customFormat="1" ht="14.25" customHeight="1">
      <c r="A102" s="363" t="s">
        <v>136</v>
      </c>
      <c r="B102" s="338" t="s">
        <v>608</v>
      </c>
      <c r="C102" s="343" t="s">
        <v>666</v>
      </c>
      <c r="D102" s="340" t="s">
        <v>768</v>
      </c>
      <c r="E102" s="341">
        <v>37407</v>
      </c>
      <c r="F102" s="146">
        <v>14871823</v>
      </c>
      <c r="G102" s="146">
        <v>14849423</v>
      </c>
      <c r="H102" s="146">
        <f t="shared" si="2"/>
        <v>22400</v>
      </c>
      <c r="I102" s="85">
        <v>0</v>
      </c>
    </row>
    <row r="103" spans="1:9" s="78" customFormat="1" ht="14.25" customHeight="1">
      <c r="A103" s="308" t="s">
        <v>137</v>
      </c>
      <c r="B103" s="338" t="s">
        <v>653</v>
      </c>
      <c r="C103" s="364" t="s">
        <v>628</v>
      </c>
      <c r="D103" s="340" t="s">
        <v>262</v>
      </c>
      <c r="E103" s="341">
        <v>37437</v>
      </c>
      <c r="F103" s="146">
        <v>13058694</v>
      </c>
      <c r="G103" s="146">
        <v>13058694</v>
      </c>
      <c r="H103" s="146">
        <f>SUM(F103-G103)</f>
        <v>0</v>
      </c>
      <c r="I103" s="85">
        <v>0</v>
      </c>
    </row>
    <row r="104" spans="1:9" s="78" customFormat="1" ht="14.25" customHeight="1">
      <c r="A104" s="363" t="s">
        <v>138</v>
      </c>
      <c r="B104" s="338" t="s">
        <v>620</v>
      </c>
      <c r="C104" s="338" t="s">
        <v>612</v>
      </c>
      <c r="D104" s="340" t="s">
        <v>80</v>
      </c>
      <c r="E104" s="341">
        <v>37437</v>
      </c>
      <c r="F104" s="146">
        <v>14320609</v>
      </c>
      <c r="G104" s="146">
        <v>14309009</v>
      </c>
      <c r="H104" s="146">
        <f>SUM(F104-G104)</f>
        <v>11600</v>
      </c>
      <c r="I104" s="85">
        <v>0</v>
      </c>
    </row>
    <row r="105" spans="1:9" s="78" customFormat="1" ht="14.25" customHeight="1">
      <c r="A105" s="339" t="s">
        <v>263</v>
      </c>
      <c r="B105" s="338" t="s">
        <v>621</v>
      </c>
      <c r="C105" s="338">
        <v>6</v>
      </c>
      <c r="D105" s="340" t="s">
        <v>264</v>
      </c>
      <c r="E105" s="341">
        <v>37468</v>
      </c>
      <c r="F105" s="146">
        <v>12231057</v>
      </c>
      <c r="G105" s="146">
        <v>12231057</v>
      </c>
      <c r="H105" s="146">
        <f>SUM(F105-G105)</f>
        <v>0</v>
      </c>
      <c r="I105" s="85">
        <v>0</v>
      </c>
    </row>
    <row r="106" spans="1:9" s="78" customFormat="1" ht="14.25" customHeight="1">
      <c r="A106" s="339" t="s">
        <v>265</v>
      </c>
      <c r="B106" s="338" t="s">
        <v>638</v>
      </c>
      <c r="C106" s="364" t="s">
        <v>628</v>
      </c>
      <c r="D106" s="340" t="s">
        <v>886</v>
      </c>
      <c r="E106" s="341">
        <v>37468</v>
      </c>
      <c r="F106" s="146">
        <v>15057900</v>
      </c>
      <c r="G106" s="146">
        <v>15056300</v>
      </c>
      <c r="H106" s="146">
        <f>SUM(F106-G106)</f>
        <v>1600</v>
      </c>
      <c r="I106" s="85">
        <v>0</v>
      </c>
    </row>
    <row r="107" spans="1:9" s="78" customFormat="1" ht="14.25" customHeight="1">
      <c r="A107" s="339" t="s">
        <v>139</v>
      </c>
      <c r="B107" s="338" t="s">
        <v>635</v>
      </c>
      <c r="C107" s="338" t="s">
        <v>612</v>
      </c>
      <c r="D107" s="340" t="s">
        <v>384</v>
      </c>
      <c r="E107" s="341">
        <v>37483</v>
      </c>
      <c r="F107" s="146">
        <v>23859015</v>
      </c>
      <c r="G107" s="146">
        <v>19193258</v>
      </c>
      <c r="H107" s="146">
        <f t="shared" si="2"/>
        <v>4665757</v>
      </c>
      <c r="I107" s="85">
        <v>45232</v>
      </c>
    </row>
    <row r="108" spans="1:9" s="78" customFormat="1" ht="14.25" customHeight="1">
      <c r="A108" s="339" t="s">
        <v>140</v>
      </c>
      <c r="B108" s="338" t="s">
        <v>625</v>
      </c>
      <c r="C108" s="364" t="s">
        <v>628</v>
      </c>
      <c r="D108" s="340" t="s">
        <v>266</v>
      </c>
      <c r="E108" s="341">
        <v>37499</v>
      </c>
      <c r="F108" s="146">
        <v>12731742</v>
      </c>
      <c r="G108" s="146">
        <v>12731742</v>
      </c>
      <c r="H108" s="146">
        <f>SUM(F108-G108)</f>
        <v>0</v>
      </c>
      <c r="I108" s="85">
        <v>0</v>
      </c>
    </row>
    <row r="109" spans="1:9" s="78" customFormat="1" ht="14.25" customHeight="1">
      <c r="A109" s="339" t="s">
        <v>267</v>
      </c>
      <c r="B109" s="338" t="s">
        <v>649</v>
      </c>
      <c r="C109" s="343" t="s">
        <v>663</v>
      </c>
      <c r="D109" s="340" t="s">
        <v>317</v>
      </c>
      <c r="E109" s="341">
        <v>37499</v>
      </c>
      <c r="F109" s="146">
        <v>15072214</v>
      </c>
      <c r="G109" s="146">
        <v>15072214</v>
      </c>
      <c r="H109" s="146">
        <f t="shared" si="2"/>
        <v>0</v>
      </c>
      <c r="I109" s="85">
        <v>0</v>
      </c>
    </row>
    <row r="110" spans="1:9" s="78" customFormat="1" ht="14.25" customHeight="1">
      <c r="A110" s="339" t="s">
        <v>268</v>
      </c>
      <c r="B110" s="338" t="s">
        <v>632</v>
      </c>
      <c r="C110" s="338" t="s">
        <v>616</v>
      </c>
      <c r="D110" s="340" t="s">
        <v>385</v>
      </c>
      <c r="E110" s="341">
        <v>37529</v>
      </c>
      <c r="F110" s="146">
        <v>12806814</v>
      </c>
      <c r="G110" s="146">
        <v>12731614</v>
      </c>
      <c r="H110" s="146">
        <f t="shared" si="2"/>
        <v>75200</v>
      </c>
      <c r="I110" s="85">
        <v>0</v>
      </c>
    </row>
    <row r="111" spans="1:9" s="78" customFormat="1" ht="14.25" customHeight="1">
      <c r="A111" s="339" t="s">
        <v>269</v>
      </c>
      <c r="B111" s="338" t="s">
        <v>659</v>
      </c>
      <c r="C111" s="338">
        <v>6</v>
      </c>
      <c r="D111" s="340" t="s">
        <v>270</v>
      </c>
      <c r="E111" s="341">
        <v>37529</v>
      </c>
      <c r="F111" s="146">
        <v>15144335</v>
      </c>
      <c r="G111" s="146">
        <v>15144335</v>
      </c>
      <c r="H111" s="146">
        <f>SUM(F111-G111)</f>
        <v>0</v>
      </c>
      <c r="I111" s="85">
        <v>0</v>
      </c>
    </row>
    <row r="112" spans="1:9" s="78" customFormat="1" ht="14.25" customHeight="1">
      <c r="A112" s="339" t="s">
        <v>271</v>
      </c>
      <c r="B112" s="338" t="s">
        <v>639</v>
      </c>
      <c r="C112" s="338" t="s">
        <v>610</v>
      </c>
      <c r="D112" s="340" t="s">
        <v>386</v>
      </c>
      <c r="E112" s="341">
        <v>37560</v>
      </c>
      <c r="F112" s="146">
        <v>26593892</v>
      </c>
      <c r="G112" s="146">
        <v>26501092</v>
      </c>
      <c r="H112" s="146">
        <f t="shared" si="2"/>
        <v>92800</v>
      </c>
      <c r="I112" s="85">
        <v>0</v>
      </c>
    </row>
    <row r="113" spans="1:9" s="78" customFormat="1" ht="14.25" customHeight="1">
      <c r="A113" s="339" t="s">
        <v>272</v>
      </c>
      <c r="B113" s="338" t="s">
        <v>642</v>
      </c>
      <c r="C113" s="338" t="s">
        <v>610</v>
      </c>
      <c r="D113" s="340" t="s">
        <v>387</v>
      </c>
      <c r="E113" s="341">
        <v>37590</v>
      </c>
      <c r="F113" s="146">
        <v>12120580</v>
      </c>
      <c r="G113" s="146">
        <v>11749180</v>
      </c>
      <c r="H113" s="146">
        <f t="shared" si="2"/>
        <v>371400</v>
      </c>
      <c r="I113" s="85">
        <v>0</v>
      </c>
    </row>
    <row r="114" spans="1:9" s="78" customFormat="1" ht="14.25" customHeight="1">
      <c r="A114" s="339" t="s">
        <v>273</v>
      </c>
      <c r="B114" s="338" t="s">
        <v>624</v>
      </c>
      <c r="C114" s="338" t="s">
        <v>656</v>
      </c>
      <c r="D114" s="340" t="s">
        <v>274</v>
      </c>
      <c r="E114" s="341">
        <v>37590</v>
      </c>
      <c r="F114" s="146">
        <v>15058528</v>
      </c>
      <c r="G114" s="146">
        <v>14990688</v>
      </c>
      <c r="H114" s="146">
        <f>SUM(F114-G114)</f>
        <v>67840</v>
      </c>
      <c r="I114" s="85">
        <v>0</v>
      </c>
    </row>
    <row r="115" spans="1:9" s="78" customFormat="1" ht="14.25" customHeight="1">
      <c r="A115" s="339" t="s">
        <v>275</v>
      </c>
      <c r="B115" s="338" t="s">
        <v>645</v>
      </c>
      <c r="C115" s="338" t="s">
        <v>656</v>
      </c>
      <c r="D115" s="340" t="s">
        <v>388</v>
      </c>
      <c r="E115" s="341">
        <v>37621</v>
      </c>
      <c r="F115" s="146">
        <v>12052433</v>
      </c>
      <c r="G115" s="146">
        <v>11642193</v>
      </c>
      <c r="H115" s="146">
        <f>SUM(F115-G115)</f>
        <v>410240</v>
      </c>
      <c r="I115" s="85">
        <v>0</v>
      </c>
    </row>
    <row r="116" spans="1:9" s="78" customFormat="1" ht="14.25" customHeight="1">
      <c r="A116" s="339" t="s">
        <v>708</v>
      </c>
      <c r="B116" s="338" t="s">
        <v>627</v>
      </c>
      <c r="C116" s="364" t="s">
        <v>709</v>
      </c>
      <c r="D116" s="340" t="s">
        <v>786</v>
      </c>
      <c r="E116" s="341">
        <v>37621</v>
      </c>
      <c r="F116" s="146">
        <v>14822027</v>
      </c>
      <c r="G116" s="146">
        <v>14822027</v>
      </c>
      <c r="H116" s="146">
        <f>SUM(F116-G116)</f>
        <v>0</v>
      </c>
      <c r="I116" s="85">
        <v>0</v>
      </c>
    </row>
    <row r="117" spans="1:9" s="78" customFormat="1" ht="14.25" customHeight="1">
      <c r="A117" s="339" t="s">
        <v>276</v>
      </c>
      <c r="B117" s="338" t="s">
        <v>647</v>
      </c>
      <c r="C117" s="343" t="s">
        <v>622</v>
      </c>
      <c r="D117" s="340" t="s">
        <v>389</v>
      </c>
      <c r="E117" s="341">
        <v>37652</v>
      </c>
      <c r="F117" s="146">
        <v>13100640</v>
      </c>
      <c r="G117" s="146">
        <v>13096640</v>
      </c>
      <c r="H117" s="146">
        <f t="shared" si="2"/>
        <v>4000</v>
      </c>
      <c r="I117" s="85">
        <v>0</v>
      </c>
    </row>
    <row r="118" spans="1:9" s="78" customFormat="1" ht="14.25" customHeight="1">
      <c r="A118" s="339" t="s">
        <v>712</v>
      </c>
      <c r="B118" s="338" t="s">
        <v>625</v>
      </c>
      <c r="C118" s="343" t="s">
        <v>669</v>
      </c>
      <c r="D118" s="340" t="s">
        <v>787</v>
      </c>
      <c r="E118" s="341">
        <v>37652</v>
      </c>
      <c r="F118" s="146">
        <v>15452604</v>
      </c>
      <c r="G118" s="146">
        <v>15427004</v>
      </c>
      <c r="H118" s="146">
        <f>SUM(F118-G118)</f>
        <v>25600</v>
      </c>
      <c r="I118" s="85">
        <v>0</v>
      </c>
    </row>
    <row r="119" spans="1:9" s="78" customFormat="1" ht="14.25" customHeight="1">
      <c r="A119" s="339" t="s">
        <v>145</v>
      </c>
      <c r="B119" s="338" t="s">
        <v>617</v>
      </c>
      <c r="C119" s="338" t="s">
        <v>628</v>
      </c>
      <c r="D119" s="340" t="s">
        <v>390</v>
      </c>
      <c r="E119" s="341">
        <v>37667</v>
      </c>
      <c r="F119" s="146">
        <v>23562691</v>
      </c>
      <c r="G119" s="146">
        <v>21920203</v>
      </c>
      <c r="H119" s="146">
        <f t="shared" si="2"/>
        <v>1642488</v>
      </c>
      <c r="I119" s="85">
        <v>21452</v>
      </c>
    </row>
    <row r="120" spans="1:9" s="78" customFormat="1" ht="14.25" customHeight="1">
      <c r="A120" s="339" t="s">
        <v>277</v>
      </c>
      <c r="B120" s="338" t="s">
        <v>657</v>
      </c>
      <c r="C120" s="343" t="s">
        <v>622</v>
      </c>
      <c r="D120" s="340" t="s">
        <v>391</v>
      </c>
      <c r="E120" s="341">
        <v>37680</v>
      </c>
      <c r="F120" s="146">
        <v>13670354</v>
      </c>
      <c r="G120" s="146">
        <v>13626354</v>
      </c>
      <c r="H120" s="146">
        <f t="shared" si="2"/>
        <v>44000</v>
      </c>
      <c r="I120" s="85">
        <v>0</v>
      </c>
    </row>
    <row r="121" spans="1:9" s="78" customFormat="1" ht="14.25" customHeight="1">
      <c r="A121" s="339" t="s">
        <v>73</v>
      </c>
      <c r="B121" s="338" t="s">
        <v>632</v>
      </c>
      <c r="C121" s="343" t="s">
        <v>104</v>
      </c>
      <c r="D121" s="340" t="s">
        <v>74</v>
      </c>
      <c r="E121" s="341">
        <v>37680</v>
      </c>
      <c r="F121" s="146">
        <v>14685095</v>
      </c>
      <c r="G121" s="146">
        <v>14278695</v>
      </c>
      <c r="H121" s="146">
        <f t="shared" si="2"/>
        <v>406400</v>
      </c>
      <c r="I121" s="85">
        <v>0</v>
      </c>
    </row>
    <row r="122" spans="1:9" s="78" customFormat="1" ht="14.25" customHeight="1">
      <c r="A122" s="339" t="s">
        <v>147</v>
      </c>
      <c r="B122" s="338" t="s">
        <v>611</v>
      </c>
      <c r="C122" s="343" t="s">
        <v>622</v>
      </c>
      <c r="D122" s="340" t="s">
        <v>392</v>
      </c>
      <c r="E122" s="341">
        <v>37711</v>
      </c>
      <c r="F122" s="146">
        <v>14172892</v>
      </c>
      <c r="G122" s="146">
        <v>14152092</v>
      </c>
      <c r="H122" s="146">
        <f t="shared" si="2"/>
        <v>20800</v>
      </c>
      <c r="I122" s="85">
        <v>0</v>
      </c>
    </row>
    <row r="123" spans="1:9" s="78" customFormat="1" ht="14.25" customHeight="1">
      <c r="A123" s="339" t="s">
        <v>486</v>
      </c>
      <c r="B123" s="338" t="s">
        <v>639</v>
      </c>
      <c r="C123" s="343" t="s">
        <v>667</v>
      </c>
      <c r="D123" s="340" t="s">
        <v>126</v>
      </c>
      <c r="E123" s="341">
        <v>37711</v>
      </c>
      <c r="F123" s="146">
        <v>14674853</v>
      </c>
      <c r="G123" s="146">
        <v>14674853</v>
      </c>
      <c r="H123" s="146">
        <f>SUM(F123-G123)</f>
        <v>0</v>
      </c>
      <c r="I123" s="85">
        <v>3200</v>
      </c>
    </row>
    <row r="124" spans="1:9" s="78" customFormat="1" ht="14.25" customHeight="1">
      <c r="A124" s="339" t="s">
        <v>148</v>
      </c>
      <c r="B124" s="338" t="s">
        <v>629</v>
      </c>
      <c r="C124" s="343" t="s">
        <v>610</v>
      </c>
      <c r="D124" s="340" t="s">
        <v>393</v>
      </c>
      <c r="E124" s="341">
        <v>37741</v>
      </c>
      <c r="F124" s="146">
        <v>12573248</v>
      </c>
      <c r="G124" s="146">
        <v>12552448</v>
      </c>
      <c r="H124" s="146">
        <f t="shared" si="2"/>
        <v>20800</v>
      </c>
      <c r="I124" s="85">
        <v>0</v>
      </c>
    </row>
    <row r="125" spans="1:9" s="78" customFormat="1" ht="14.25" customHeight="1">
      <c r="A125" s="339" t="s">
        <v>487</v>
      </c>
      <c r="B125" s="338" t="s">
        <v>642</v>
      </c>
      <c r="C125" s="343" t="s">
        <v>488</v>
      </c>
      <c r="D125" s="340" t="s">
        <v>127</v>
      </c>
      <c r="E125" s="341">
        <v>37741</v>
      </c>
      <c r="F125" s="146">
        <v>13338528</v>
      </c>
      <c r="G125" s="146">
        <v>13338528</v>
      </c>
      <c r="H125" s="146">
        <f>SUM(F125-G125)</f>
        <v>0</v>
      </c>
      <c r="I125" s="85">
        <v>0</v>
      </c>
    </row>
    <row r="126" spans="1:10" s="78" customFormat="1" ht="14.25" customHeight="1">
      <c r="A126" s="308" t="s">
        <v>149</v>
      </c>
      <c r="B126" s="343" t="s">
        <v>644</v>
      </c>
      <c r="C126" s="343" t="s">
        <v>622</v>
      </c>
      <c r="D126" s="344" t="s">
        <v>394</v>
      </c>
      <c r="E126" s="341">
        <v>37772</v>
      </c>
      <c r="F126" s="146">
        <v>13132243</v>
      </c>
      <c r="G126" s="146">
        <v>13103843</v>
      </c>
      <c r="H126" s="146">
        <f t="shared" si="2"/>
        <v>28400</v>
      </c>
      <c r="I126" s="85">
        <v>0</v>
      </c>
      <c r="J126" s="78" t="s">
        <v>560</v>
      </c>
    </row>
    <row r="127" spans="1:9" s="78" customFormat="1" ht="14.25" customHeight="1">
      <c r="A127" s="339" t="s">
        <v>435</v>
      </c>
      <c r="B127" s="338" t="s">
        <v>645</v>
      </c>
      <c r="C127" s="343" t="s">
        <v>667</v>
      </c>
      <c r="D127" s="340" t="s">
        <v>891</v>
      </c>
      <c r="E127" s="341">
        <v>37772</v>
      </c>
      <c r="F127" s="146">
        <v>13331937</v>
      </c>
      <c r="G127" s="146">
        <v>13331937</v>
      </c>
      <c r="H127" s="146">
        <f t="shared" si="2"/>
        <v>0</v>
      </c>
      <c r="I127" s="85">
        <v>0</v>
      </c>
    </row>
    <row r="128" spans="1:10" s="78" customFormat="1" ht="14.25" customHeight="1">
      <c r="A128" s="308" t="s">
        <v>150</v>
      </c>
      <c r="B128" s="343" t="s">
        <v>653</v>
      </c>
      <c r="C128" s="343" t="s">
        <v>661</v>
      </c>
      <c r="D128" s="344" t="s">
        <v>395</v>
      </c>
      <c r="E128" s="341">
        <v>37802</v>
      </c>
      <c r="F128" s="146">
        <v>13126779</v>
      </c>
      <c r="G128" s="146">
        <v>13096379</v>
      </c>
      <c r="H128" s="146">
        <f t="shared" si="2"/>
        <v>30400</v>
      </c>
      <c r="I128" s="85">
        <v>0</v>
      </c>
      <c r="J128" s="78" t="s">
        <v>560</v>
      </c>
    </row>
    <row r="129" spans="1:9" s="78" customFormat="1" ht="14.25" customHeight="1">
      <c r="A129" s="308" t="s">
        <v>70</v>
      </c>
      <c r="B129" s="343" t="s">
        <v>650</v>
      </c>
      <c r="C129" s="343" t="s">
        <v>324</v>
      </c>
      <c r="D129" s="344" t="s">
        <v>69</v>
      </c>
      <c r="E129" s="341">
        <v>37802</v>
      </c>
      <c r="F129" s="146">
        <v>14671070</v>
      </c>
      <c r="G129" s="146">
        <v>14671070</v>
      </c>
      <c r="H129" s="146">
        <f t="shared" si="2"/>
        <v>0</v>
      </c>
      <c r="I129" s="85">
        <v>0</v>
      </c>
    </row>
    <row r="130" spans="1:9" s="78" customFormat="1" ht="14.25" customHeight="1">
      <c r="A130" s="308" t="s">
        <v>67</v>
      </c>
      <c r="B130" s="343" t="s">
        <v>651</v>
      </c>
      <c r="C130" s="343" t="s">
        <v>324</v>
      </c>
      <c r="D130" s="344" t="s">
        <v>68</v>
      </c>
      <c r="E130" s="341">
        <v>37833</v>
      </c>
      <c r="F130" s="146">
        <v>16003270</v>
      </c>
      <c r="G130" s="146">
        <v>16003270</v>
      </c>
      <c r="H130" s="146">
        <f>SUM(F130-G130)</f>
        <v>0</v>
      </c>
      <c r="I130" s="85">
        <v>0</v>
      </c>
    </row>
    <row r="131" spans="1:9" s="78" customFormat="1" ht="14.25" customHeight="1">
      <c r="A131" s="339" t="s">
        <v>151</v>
      </c>
      <c r="B131" s="338" t="s">
        <v>635</v>
      </c>
      <c r="C131" s="338" t="s">
        <v>610</v>
      </c>
      <c r="D131" s="340" t="s">
        <v>396</v>
      </c>
      <c r="E131" s="341">
        <v>37848</v>
      </c>
      <c r="F131" s="146">
        <v>28011028</v>
      </c>
      <c r="G131" s="146">
        <v>25641788</v>
      </c>
      <c r="H131" s="146">
        <f t="shared" si="2"/>
        <v>2369240</v>
      </c>
      <c r="I131" s="85">
        <v>24900</v>
      </c>
    </row>
    <row r="132" spans="1:9" s="78" customFormat="1" ht="14.25" customHeight="1">
      <c r="A132" s="308" t="s">
        <v>278</v>
      </c>
      <c r="B132" s="343" t="s">
        <v>614</v>
      </c>
      <c r="C132" s="343" t="s">
        <v>665</v>
      </c>
      <c r="D132" s="344" t="s">
        <v>397</v>
      </c>
      <c r="E132" s="341">
        <v>37848</v>
      </c>
      <c r="F132" s="146">
        <v>19852263</v>
      </c>
      <c r="G132" s="146">
        <v>19783263</v>
      </c>
      <c r="H132" s="146">
        <f t="shared" si="2"/>
        <v>69000</v>
      </c>
      <c r="I132" s="85">
        <v>0</v>
      </c>
    </row>
    <row r="133" spans="1:10" s="78" customFormat="1" ht="14.25" customHeight="1">
      <c r="A133" s="339" t="s">
        <v>36</v>
      </c>
      <c r="B133" s="338" t="s">
        <v>654</v>
      </c>
      <c r="C133" s="343" t="s">
        <v>699</v>
      </c>
      <c r="D133" s="340" t="s">
        <v>301</v>
      </c>
      <c r="E133" s="341">
        <v>37864</v>
      </c>
      <c r="F133" s="146">
        <v>18665038</v>
      </c>
      <c r="G133" s="146">
        <v>18665038</v>
      </c>
      <c r="H133" s="146">
        <f aca="true" t="shared" si="3" ref="H133:H138">SUM(F133-G133)</f>
        <v>0</v>
      </c>
      <c r="I133" s="85">
        <v>0</v>
      </c>
      <c r="J133" s="78" t="s">
        <v>560</v>
      </c>
    </row>
    <row r="134" spans="1:10" s="78" customFormat="1" ht="14.25" customHeight="1">
      <c r="A134" s="339" t="s">
        <v>748</v>
      </c>
      <c r="B134" s="338" t="s">
        <v>660</v>
      </c>
      <c r="C134" s="343" t="s">
        <v>750</v>
      </c>
      <c r="D134" s="340" t="s">
        <v>751</v>
      </c>
      <c r="E134" s="341">
        <v>37894</v>
      </c>
      <c r="F134" s="146">
        <v>22675482</v>
      </c>
      <c r="G134" s="146">
        <v>22675482</v>
      </c>
      <c r="H134" s="146">
        <f t="shared" si="3"/>
        <v>0</v>
      </c>
      <c r="I134" s="85">
        <v>0</v>
      </c>
      <c r="J134" s="78" t="s">
        <v>560</v>
      </c>
    </row>
    <row r="135" spans="1:10" s="78" customFormat="1" ht="14.25" customHeight="1">
      <c r="A135" s="433" t="s">
        <v>749</v>
      </c>
      <c r="B135" s="338" t="s">
        <v>608</v>
      </c>
      <c r="C135" s="343" t="s">
        <v>750</v>
      </c>
      <c r="D135" s="340" t="s">
        <v>752</v>
      </c>
      <c r="E135" s="341">
        <v>37925</v>
      </c>
      <c r="F135" s="146">
        <v>25147960</v>
      </c>
      <c r="G135" s="146">
        <v>25147960</v>
      </c>
      <c r="H135" s="146">
        <f t="shared" si="3"/>
        <v>0</v>
      </c>
      <c r="I135" s="85">
        <v>0</v>
      </c>
      <c r="J135" s="78" t="s">
        <v>560</v>
      </c>
    </row>
    <row r="136" spans="1:9" s="78" customFormat="1" ht="14.25" customHeight="1">
      <c r="A136" s="308" t="s">
        <v>153</v>
      </c>
      <c r="B136" s="338" t="s">
        <v>621</v>
      </c>
      <c r="C136" s="343" t="s">
        <v>667</v>
      </c>
      <c r="D136" s="344" t="s">
        <v>398</v>
      </c>
      <c r="E136" s="341">
        <v>37940</v>
      </c>
      <c r="F136" s="146">
        <v>18625785</v>
      </c>
      <c r="G136" s="146">
        <v>17367565</v>
      </c>
      <c r="H136" s="146">
        <f t="shared" si="3"/>
        <v>1258220</v>
      </c>
      <c r="I136" s="85">
        <v>3600</v>
      </c>
    </row>
    <row r="137" spans="1:9" s="78" customFormat="1" ht="14.25" customHeight="1">
      <c r="A137" s="308" t="s">
        <v>130</v>
      </c>
      <c r="B137" s="338" t="s">
        <v>620</v>
      </c>
      <c r="C137" s="343" t="s">
        <v>131</v>
      </c>
      <c r="D137" s="344" t="s">
        <v>132</v>
      </c>
      <c r="E137" s="341">
        <v>37955</v>
      </c>
      <c r="F137" s="146">
        <v>26170526</v>
      </c>
      <c r="G137" s="146">
        <v>26170526</v>
      </c>
      <c r="H137" s="146">
        <f t="shared" si="3"/>
        <v>0</v>
      </c>
      <c r="I137" s="85">
        <v>0</v>
      </c>
    </row>
    <row r="138" spans="1:9" s="78" customFormat="1" ht="14.25" customHeight="1">
      <c r="A138" s="339" t="s">
        <v>283</v>
      </c>
      <c r="B138" s="338" t="s">
        <v>638</v>
      </c>
      <c r="C138" s="343" t="s">
        <v>284</v>
      </c>
      <c r="D138" s="340" t="s">
        <v>285</v>
      </c>
      <c r="E138" s="341">
        <v>37986</v>
      </c>
      <c r="F138" s="146">
        <v>29666988</v>
      </c>
      <c r="G138" s="146">
        <v>29666988</v>
      </c>
      <c r="H138" s="146">
        <f t="shared" si="3"/>
        <v>0</v>
      </c>
      <c r="I138" s="85">
        <v>0</v>
      </c>
    </row>
    <row r="139" spans="1:9" s="78" customFormat="1" ht="14.25" customHeight="1">
      <c r="A139" s="339" t="s">
        <v>44</v>
      </c>
      <c r="B139" s="338" t="s">
        <v>614</v>
      </c>
      <c r="C139" s="343">
        <v>3</v>
      </c>
      <c r="D139" s="340" t="s">
        <v>57</v>
      </c>
      <c r="E139" s="341">
        <v>38017</v>
      </c>
      <c r="F139" s="146">
        <v>30775555</v>
      </c>
      <c r="G139" s="146">
        <v>30775555</v>
      </c>
      <c r="H139" s="146">
        <f>SUM(F139-G139)</f>
        <v>0</v>
      </c>
      <c r="I139" s="85">
        <v>0</v>
      </c>
    </row>
    <row r="140" spans="1:9" s="78" customFormat="1" ht="14.25" customHeight="1">
      <c r="A140" s="339" t="s">
        <v>154</v>
      </c>
      <c r="B140" s="338" t="s">
        <v>617</v>
      </c>
      <c r="C140" s="338" t="s">
        <v>616</v>
      </c>
      <c r="D140" s="340" t="s">
        <v>399</v>
      </c>
      <c r="E140" s="341">
        <v>38032</v>
      </c>
      <c r="F140" s="146">
        <v>12955077</v>
      </c>
      <c r="G140" s="146">
        <v>12182797</v>
      </c>
      <c r="H140" s="146">
        <f aca="true" t="shared" si="4" ref="H140:H172">SUM(F140-G140)</f>
        <v>772280</v>
      </c>
      <c r="I140" s="85">
        <v>20800</v>
      </c>
    </row>
    <row r="141" spans="1:10" s="78" customFormat="1" ht="14.25" customHeight="1">
      <c r="A141" s="339" t="s">
        <v>279</v>
      </c>
      <c r="B141" s="338" t="s">
        <v>611</v>
      </c>
      <c r="C141" s="343" t="s">
        <v>669</v>
      </c>
      <c r="D141" s="340" t="s">
        <v>894</v>
      </c>
      <c r="E141" s="341">
        <v>38032</v>
      </c>
      <c r="F141" s="146">
        <v>17823228</v>
      </c>
      <c r="G141" s="146">
        <v>17805628</v>
      </c>
      <c r="H141" s="146">
        <f t="shared" si="4"/>
        <v>17600</v>
      </c>
      <c r="I141" s="85">
        <v>800</v>
      </c>
      <c r="J141" s="78" t="s">
        <v>560</v>
      </c>
    </row>
    <row r="142" spans="1:10" s="78" customFormat="1" ht="14.25" customHeight="1">
      <c r="A142" s="339" t="s">
        <v>98</v>
      </c>
      <c r="B142" s="338" t="s">
        <v>621</v>
      </c>
      <c r="C142" s="343">
        <v>3</v>
      </c>
      <c r="D142" s="340" t="s">
        <v>99</v>
      </c>
      <c r="E142" s="341">
        <v>38046</v>
      </c>
      <c r="F142" s="146">
        <v>31746077</v>
      </c>
      <c r="G142" s="146">
        <v>31746077</v>
      </c>
      <c r="H142" s="146">
        <f>SUM(F142-G142)</f>
        <v>0</v>
      </c>
      <c r="I142" s="85">
        <v>0</v>
      </c>
      <c r="J142" s="78" t="s">
        <v>560</v>
      </c>
    </row>
    <row r="143" spans="1:10" s="78" customFormat="1" ht="14.25" customHeight="1">
      <c r="A143" s="339" t="s">
        <v>156</v>
      </c>
      <c r="B143" s="338" t="s">
        <v>635</v>
      </c>
      <c r="C143" s="338" t="s">
        <v>668</v>
      </c>
      <c r="D143" s="340" t="s">
        <v>400</v>
      </c>
      <c r="E143" s="341">
        <v>38122</v>
      </c>
      <c r="F143" s="146">
        <v>14440372</v>
      </c>
      <c r="G143" s="146">
        <v>13623572</v>
      </c>
      <c r="H143" s="146">
        <f t="shared" si="4"/>
        <v>816800</v>
      </c>
      <c r="I143" s="85">
        <v>77200</v>
      </c>
      <c r="J143" s="78" t="s">
        <v>560</v>
      </c>
    </row>
    <row r="144" spans="1:10" s="78" customFormat="1" ht="14.25" customHeight="1">
      <c r="A144" s="339" t="s">
        <v>157</v>
      </c>
      <c r="B144" s="338" t="s">
        <v>629</v>
      </c>
      <c r="C144" s="343" t="s">
        <v>665</v>
      </c>
      <c r="D144" s="340" t="s">
        <v>880</v>
      </c>
      <c r="E144" s="341">
        <v>38122</v>
      </c>
      <c r="F144" s="146">
        <v>18925383</v>
      </c>
      <c r="G144" s="146">
        <v>18925383</v>
      </c>
      <c r="H144" s="146">
        <f t="shared" si="4"/>
        <v>0</v>
      </c>
      <c r="I144" s="85">
        <v>0</v>
      </c>
      <c r="J144" s="78" t="s">
        <v>560</v>
      </c>
    </row>
    <row r="145" spans="1:9" s="78" customFormat="1" ht="14.25" customHeight="1">
      <c r="A145" s="339" t="s">
        <v>158</v>
      </c>
      <c r="B145" s="338" t="s">
        <v>647</v>
      </c>
      <c r="C145" s="338" t="s">
        <v>668</v>
      </c>
      <c r="D145" s="340" t="s">
        <v>401</v>
      </c>
      <c r="E145" s="341">
        <v>38214</v>
      </c>
      <c r="F145" s="146">
        <v>13346467</v>
      </c>
      <c r="G145" s="146">
        <v>11473167</v>
      </c>
      <c r="H145" s="146">
        <f t="shared" si="4"/>
        <v>1873300</v>
      </c>
      <c r="I145" s="85">
        <v>8000</v>
      </c>
    </row>
    <row r="146" spans="1:9" s="78" customFormat="1" ht="14.25" customHeight="1">
      <c r="A146" s="339" t="s">
        <v>159</v>
      </c>
      <c r="B146" s="338" t="s">
        <v>644</v>
      </c>
      <c r="C146" s="338">
        <v>6</v>
      </c>
      <c r="D146" s="340" t="s">
        <v>124</v>
      </c>
      <c r="E146" s="341">
        <v>38214</v>
      </c>
      <c r="F146" s="146">
        <v>18089806</v>
      </c>
      <c r="G146" s="146">
        <v>18089806</v>
      </c>
      <c r="H146" s="146">
        <f t="shared" si="4"/>
        <v>0</v>
      </c>
      <c r="I146" s="85">
        <v>0</v>
      </c>
    </row>
    <row r="147" spans="1:9" s="78" customFormat="1" ht="14.25" customHeight="1">
      <c r="A147" s="339" t="s">
        <v>160</v>
      </c>
      <c r="B147" s="338" t="s">
        <v>657</v>
      </c>
      <c r="C147" s="338" t="s">
        <v>658</v>
      </c>
      <c r="D147" s="340" t="s">
        <v>402</v>
      </c>
      <c r="E147" s="341">
        <v>38306</v>
      </c>
      <c r="F147" s="146">
        <v>14373760</v>
      </c>
      <c r="G147" s="146">
        <v>14369160</v>
      </c>
      <c r="H147" s="146">
        <f t="shared" si="4"/>
        <v>4600</v>
      </c>
      <c r="I147" s="85">
        <v>0</v>
      </c>
    </row>
    <row r="148" spans="1:9" s="78" customFormat="1" ht="14.25" customHeight="1">
      <c r="A148" s="339" t="s">
        <v>161</v>
      </c>
      <c r="B148" s="338" t="s">
        <v>653</v>
      </c>
      <c r="C148" s="338" t="s">
        <v>616</v>
      </c>
      <c r="D148" s="340" t="s">
        <v>82</v>
      </c>
      <c r="E148" s="341">
        <v>38306</v>
      </c>
      <c r="F148" s="146">
        <v>32658145</v>
      </c>
      <c r="G148" s="146">
        <v>32658145</v>
      </c>
      <c r="H148" s="146">
        <f t="shared" si="4"/>
        <v>0</v>
      </c>
      <c r="I148" s="85">
        <v>0</v>
      </c>
    </row>
    <row r="149" spans="1:9" s="78" customFormat="1" ht="14.25" customHeight="1">
      <c r="A149" s="339" t="s">
        <v>162</v>
      </c>
      <c r="B149" s="338" t="s">
        <v>617</v>
      </c>
      <c r="C149" s="338" t="s">
        <v>655</v>
      </c>
      <c r="D149" s="340" t="s">
        <v>403</v>
      </c>
      <c r="E149" s="341">
        <v>38398</v>
      </c>
      <c r="F149" s="146">
        <v>13834754</v>
      </c>
      <c r="G149" s="146">
        <v>13209514</v>
      </c>
      <c r="H149" s="146">
        <f t="shared" si="4"/>
        <v>625240</v>
      </c>
      <c r="I149" s="85">
        <v>9520</v>
      </c>
    </row>
    <row r="150" spans="1:9" s="78" customFormat="1" ht="14.25" customHeight="1">
      <c r="A150" s="339" t="s">
        <v>163</v>
      </c>
      <c r="B150" s="338" t="s">
        <v>635</v>
      </c>
      <c r="C150" s="338" t="s">
        <v>633</v>
      </c>
      <c r="D150" s="340" t="s">
        <v>404</v>
      </c>
      <c r="E150" s="341">
        <v>38487</v>
      </c>
      <c r="F150" s="146">
        <v>14739504</v>
      </c>
      <c r="G150" s="146">
        <v>14739104</v>
      </c>
      <c r="H150" s="146">
        <f t="shared" si="4"/>
        <v>400</v>
      </c>
      <c r="I150" s="85">
        <v>0</v>
      </c>
    </row>
    <row r="151" spans="1:9" s="78" customFormat="1" ht="14.25" customHeight="1">
      <c r="A151" s="339" t="s">
        <v>164</v>
      </c>
      <c r="B151" s="338" t="s">
        <v>611</v>
      </c>
      <c r="C151" s="343" t="s">
        <v>640</v>
      </c>
      <c r="D151" s="340" t="s">
        <v>320</v>
      </c>
      <c r="E151" s="341">
        <v>38487</v>
      </c>
      <c r="F151" s="146">
        <v>28562370</v>
      </c>
      <c r="G151" s="146">
        <v>28386970</v>
      </c>
      <c r="H151" s="146">
        <f t="shared" si="4"/>
        <v>175400</v>
      </c>
      <c r="I151" s="85">
        <v>0</v>
      </c>
    </row>
    <row r="152" spans="1:9" s="78" customFormat="1" ht="14.25" customHeight="1">
      <c r="A152" s="339" t="s">
        <v>165</v>
      </c>
      <c r="B152" s="338" t="s">
        <v>647</v>
      </c>
      <c r="C152" s="338" t="s">
        <v>633</v>
      </c>
      <c r="D152" s="340" t="s">
        <v>405</v>
      </c>
      <c r="E152" s="341">
        <v>38579</v>
      </c>
      <c r="F152" s="146">
        <v>15002580</v>
      </c>
      <c r="G152" s="146">
        <v>15002180</v>
      </c>
      <c r="H152" s="146">
        <f t="shared" si="4"/>
        <v>400</v>
      </c>
      <c r="I152" s="85">
        <v>0</v>
      </c>
    </row>
    <row r="153" spans="1:9" s="78" customFormat="1" ht="14.25" customHeight="1">
      <c r="A153" s="339" t="s">
        <v>166</v>
      </c>
      <c r="B153" s="338" t="s">
        <v>657</v>
      </c>
      <c r="C153" s="338" t="s">
        <v>616</v>
      </c>
      <c r="D153" s="340" t="s">
        <v>406</v>
      </c>
      <c r="E153" s="341">
        <v>38671</v>
      </c>
      <c r="F153" s="146">
        <v>15209920</v>
      </c>
      <c r="G153" s="146">
        <v>14739320</v>
      </c>
      <c r="H153" s="146">
        <f t="shared" si="4"/>
        <v>470600</v>
      </c>
      <c r="I153" s="85">
        <v>3200</v>
      </c>
    </row>
    <row r="154" spans="1:9" s="78" customFormat="1" ht="14.25" customHeight="1">
      <c r="A154" s="339" t="s">
        <v>167</v>
      </c>
      <c r="B154" s="338" t="s">
        <v>629</v>
      </c>
      <c r="C154" s="343" t="s">
        <v>610</v>
      </c>
      <c r="D154" s="340" t="s">
        <v>280</v>
      </c>
      <c r="E154" s="341">
        <v>38671</v>
      </c>
      <c r="F154" s="146">
        <v>28062797</v>
      </c>
      <c r="G154" s="146">
        <v>27845997</v>
      </c>
      <c r="H154" s="146">
        <f t="shared" si="4"/>
        <v>216800</v>
      </c>
      <c r="I154" s="85">
        <v>4600</v>
      </c>
    </row>
    <row r="155" spans="1:9" s="78" customFormat="1" ht="14.25" customHeight="1">
      <c r="A155" s="339" t="s">
        <v>168</v>
      </c>
      <c r="B155" s="338" t="s">
        <v>617</v>
      </c>
      <c r="C155" s="338" t="s">
        <v>656</v>
      </c>
      <c r="D155" s="340" t="s">
        <v>407</v>
      </c>
      <c r="E155" s="341">
        <v>38763</v>
      </c>
      <c r="F155" s="146">
        <v>15513587</v>
      </c>
      <c r="G155" s="146">
        <v>15508107</v>
      </c>
      <c r="H155" s="146">
        <f t="shared" si="4"/>
        <v>5480</v>
      </c>
      <c r="I155" s="85">
        <v>0</v>
      </c>
    </row>
    <row r="156" spans="1:9" s="78" customFormat="1" ht="14.25" customHeight="1">
      <c r="A156" s="339" t="s">
        <v>169</v>
      </c>
      <c r="B156" s="338" t="s">
        <v>635</v>
      </c>
      <c r="C156" s="338" t="s">
        <v>646</v>
      </c>
      <c r="D156" s="340" t="s">
        <v>408</v>
      </c>
      <c r="E156" s="347">
        <v>38852</v>
      </c>
      <c r="F156" s="146">
        <v>16015475</v>
      </c>
      <c r="G156" s="146">
        <v>15243475</v>
      </c>
      <c r="H156" s="146">
        <f t="shared" si="4"/>
        <v>772000</v>
      </c>
      <c r="I156" s="85">
        <v>1400</v>
      </c>
    </row>
    <row r="157" spans="1:9" s="78" customFormat="1" ht="14.25" customHeight="1">
      <c r="A157" s="339" t="s">
        <v>61</v>
      </c>
      <c r="B157" s="338" t="s">
        <v>611</v>
      </c>
      <c r="C157" s="364" t="s">
        <v>104</v>
      </c>
      <c r="D157" s="340" t="s">
        <v>771</v>
      </c>
      <c r="E157" s="347">
        <v>38852</v>
      </c>
      <c r="F157" s="146">
        <v>27797852</v>
      </c>
      <c r="G157" s="146">
        <v>27797852</v>
      </c>
      <c r="H157" s="146">
        <f t="shared" si="4"/>
        <v>0</v>
      </c>
      <c r="I157" s="85">
        <v>0</v>
      </c>
    </row>
    <row r="158" spans="1:9" s="78" customFormat="1" ht="14.25" customHeight="1">
      <c r="A158" s="339" t="s">
        <v>170</v>
      </c>
      <c r="B158" s="338" t="s">
        <v>647</v>
      </c>
      <c r="C158" s="338" t="s">
        <v>630</v>
      </c>
      <c r="D158" s="340" t="s">
        <v>409</v>
      </c>
      <c r="E158" s="347">
        <v>38913</v>
      </c>
      <c r="F158" s="146">
        <v>22740446</v>
      </c>
      <c r="G158" s="146">
        <v>22700446</v>
      </c>
      <c r="H158" s="146">
        <f t="shared" si="4"/>
        <v>40000</v>
      </c>
      <c r="I158" s="85">
        <v>0</v>
      </c>
    </row>
    <row r="159" spans="1:9" s="78" customFormat="1" ht="14.25" customHeight="1">
      <c r="A159" s="339" t="s">
        <v>171</v>
      </c>
      <c r="B159" s="338" t="s">
        <v>657</v>
      </c>
      <c r="C159" s="338" t="s">
        <v>633</v>
      </c>
      <c r="D159" s="340" t="s">
        <v>410</v>
      </c>
      <c r="E159" s="347">
        <v>39005</v>
      </c>
      <c r="F159" s="146">
        <v>22459675</v>
      </c>
      <c r="G159" s="146">
        <v>22399675</v>
      </c>
      <c r="H159" s="146">
        <f t="shared" si="4"/>
        <v>60000</v>
      </c>
      <c r="I159" s="85">
        <v>0</v>
      </c>
    </row>
    <row r="160" spans="1:9" s="78" customFormat="1" ht="14.25" customHeight="1">
      <c r="A160" s="339" t="s">
        <v>778</v>
      </c>
      <c r="B160" s="338" t="s">
        <v>629</v>
      </c>
      <c r="C160" s="343" t="s">
        <v>711</v>
      </c>
      <c r="D160" s="340" t="s">
        <v>781</v>
      </c>
      <c r="E160" s="347">
        <v>39036</v>
      </c>
      <c r="F160" s="146">
        <v>35380129</v>
      </c>
      <c r="G160" s="146">
        <v>35058129</v>
      </c>
      <c r="H160" s="146">
        <f>SUM(F160-G160)</f>
        <v>322000</v>
      </c>
      <c r="I160" s="85">
        <v>94600</v>
      </c>
    </row>
    <row r="161" spans="1:9" s="78" customFormat="1" ht="14.25" customHeight="1">
      <c r="A161" s="339" t="s">
        <v>172</v>
      </c>
      <c r="B161" s="338" t="s">
        <v>635</v>
      </c>
      <c r="C161" s="338" t="s">
        <v>628</v>
      </c>
      <c r="D161" s="340" t="s">
        <v>411</v>
      </c>
      <c r="E161" s="347">
        <v>39128</v>
      </c>
      <c r="F161" s="146">
        <v>13103678</v>
      </c>
      <c r="G161" s="146">
        <v>12653046</v>
      </c>
      <c r="H161" s="146">
        <f t="shared" si="4"/>
        <v>450632</v>
      </c>
      <c r="I161" s="85">
        <v>57816</v>
      </c>
    </row>
    <row r="162" spans="1:9" s="78" customFormat="1" ht="14.25" customHeight="1">
      <c r="A162" s="339" t="s">
        <v>173</v>
      </c>
      <c r="B162" s="338" t="s">
        <v>647</v>
      </c>
      <c r="C162" s="343" t="s">
        <v>666</v>
      </c>
      <c r="D162" s="340" t="s">
        <v>412</v>
      </c>
      <c r="E162" s="347">
        <v>39217</v>
      </c>
      <c r="F162" s="146">
        <v>13958186</v>
      </c>
      <c r="G162" s="146">
        <v>13781071</v>
      </c>
      <c r="H162" s="146">
        <f t="shared" si="4"/>
        <v>177115</v>
      </c>
      <c r="I162" s="85">
        <v>9600</v>
      </c>
    </row>
    <row r="163" spans="1:9" s="78" customFormat="1" ht="12.75" customHeight="1">
      <c r="A163" s="308" t="s">
        <v>174</v>
      </c>
      <c r="B163" s="338" t="s">
        <v>657</v>
      </c>
      <c r="C163" s="343" t="s">
        <v>663</v>
      </c>
      <c r="D163" s="340" t="s">
        <v>413</v>
      </c>
      <c r="E163" s="347">
        <v>39309</v>
      </c>
      <c r="F163" s="146">
        <v>25636803</v>
      </c>
      <c r="G163" s="146">
        <v>25020203</v>
      </c>
      <c r="H163" s="146">
        <f t="shared" si="4"/>
        <v>616600</v>
      </c>
      <c r="I163" s="85">
        <v>40600</v>
      </c>
    </row>
    <row r="164" spans="1:9" s="78" customFormat="1" ht="14.25" customHeight="1">
      <c r="A164" s="308" t="s">
        <v>175</v>
      </c>
      <c r="B164" s="338" t="s">
        <v>635</v>
      </c>
      <c r="C164" s="343" t="s">
        <v>622</v>
      </c>
      <c r="D164" s="340" t="s">
        <v>414</v>
      </c>
      <c r="E164" s="347">
        <v>39493</v>
      </c>
      <c r="F164" s="146">
        <v>13583412</v>
      </c>
      <c r="G164" s="146">
        <v>13558212</v>
      </c>
      <c r="H164" s="146">
        <f t="shared" si="4"/>
        <v>25200</v>
      </c>
      <c r="I164" s="85">
        <v>0</v>
      </c>
    </row>
    <row r="165" spans="1:9" s="78" customFormat="1" ht="14.25" customHeight="1">
      <c r="A165" s="308" t="s">
        <v>176</v>
      </c>
      <c r="B165" s="338" t="s">
        <v>647</v>
      </c>
      <c r="C165" s="338" t="s">
        <v>656</v>
      </c>
      <c r="D165" s="344" t="s">
        <v>415</v>
      </c>
      <c r="E165" s="347">
        <v>39583</v>
      </c>
      <c r="F165" s="146">
        <v>27190961</v>
      </c>
      <c r="G165" s="146">
        <v>27124401</v>
      </c>
      <c r="H165" s="146">
        <f t="shared" si="4"/>
        <v>66560</v>
      </c>
      <c r="I165" s="85">
        <v>23360</v>
      </c>
    </row>
    <row r="166" spans="1:9" s="78" customFormat="1" ht="14.25" customHeight="1">
      <c r="A166" s="308" t="s">
        <v>177</v>
      </c>
      <c r="B166" s="338" t="s">
        <v>657</v>
      </c>
      <c r="C166" s="343" t="s">
        <v>669</v>
      </c>
      <c r="D166" s="344" t="s">
        <v>416</v>
      </c>
      <c r="E166" s="347">
        <v>39767</v>
      </c>
      <c r="F166" s="146">
        <v>25083125</v>
      </c>
      <c r="G166" s="146">
        <v>25069125</v>
      </c>
      <c r="H166" s="146">
        <f t="shared" si="4"/>
        <v>14000</v>
      </c>
      <c r="I166" s="85">
        <v>11200</v>
      </c>
    </row>
    <row r="167" spans="1:10" s="78" customFormat="1" ht="14.25" customHeight="1">
      <c r="A167" s="308" t="s">
        <v>178</v>
      </c>
      <c r="B167" s="338" t="s">
        <v>635</v>
      </c>
      <c r="C167" s="343" t="s">
        <v>622</v>
      </c>
      <c r="D167" s="340" t="s">
        <v>881</v>
      </c>
      <c r="E167" s="347">
        <v>39948</v>
      </c>
      <c r="F167" s="146">
        <v>14794790</v>
      </c>
      <c r="G167" s="146">
        <v>14757290</v>
      </c>
      <c r="H167" s="146">
        <f t="shared" si="4"/>
        <v>37500</v>
      </c>
      <c r="I167" s="85">
        <v>32000</v>
      </c>
      <c r="J167" s="78" t="s">
        <v>560</v>
      </c>
    </row>
    <row r="168" spans="1:9" s="78" customFormat="1" ht="14.25" customHeight="1">
      <c r="A168" s="308" t="s">
        <v>179</v>
      </c>
      <c r="B168" s="338" t="s">
        <v>647</v>
      </c>
      <c r="C168" s="343">
        <v>6</v>
      </c>
      <c r="D168" s="340" t="s">
        <v>125</v>
      </c>
      <c r="E168" s="347">
        <v>40040</v>
      </c>
      <c r="F168" s="146">
        <v>27399894</v>
      </c>
      <c r="G168" s="146">
        <v>27304894</v>
      </c>
      <c r="H168" s="146">
        <f t="shared" si="4"/>
        <v>95000</v>
      </c>
      <c r="I168" s="85">
        <v>0</v>
      </c>
    </row>
    <row r="169" spans="1:9" s="78" customFormat="1" ht="14.25" customHeight="1">
      <c r="A169" s="308" t="s">
        <v>180</v>
      </c>
      <c r="B169" s="338" t="s">
        <v>635</v>
      </c>
      <c r="C169" s="338" t="s">
        <v>633</v>
      </c>
      <c r="D169" s="340" t="s">
        <v>318</v>
      </c>
      <c r="E169" s="347">
        <v>40224</v>
      </c>
      <c r="F169" s="146">
        <v>23355709</v>
      </c>
      <c r="G169" s="146">
        <v>23351509</v>
      </c>
      <c r="H169" s="146">
        <f t="shared" si="4"/>
        <v>4200</v>
      </c>
      <c r="I169" s="85">
        <v>0</v>
      </c>
    </row>
    <row r="170" spans="1:9" s="78" customFormat="1" ht="14.25" customHeight="1">
      <c r="A170" s="308" t="s">
        <v>181</v>
      </c>
      <c r="B170" s="338" t="s">
        <v>647</v>
      </c>
      <c r="C170" s="343" t="s">
        <v>610</v>
      </c>
      <c r="D170" s="340" t="s">
        <v>815</v>
      </c>
      <c r="E170" s="347">
        <v>40405</v>
      </c>
      <c r="F170" s="146">
        <v>22437594</v>
      </c>
      <c r="G170" s="146">
        <v>22434594</v>
      </c>
      <c r="H170" s="146">
        <f t="shared" si="4"/>
        <v>3000</v>
      </c>
      <c r="I170" s="85">
        <v>0</v>
      </c>
    </row>
    <row r="171" spans="1:9" s="78" customFormat="1" ht="14.25" customHeight="1">
      <c r="A171" s="308" t="s">
        <v>128</v>
      </c>
      <c r="B171" s="338" t="s">
        <v>635</v>
      </c>
      <c r="C171" s="343">
        <v>5</v>
      </c>
      <c r="D171" s="340" t="s">
        <v>897</v>
      </c>
      <c r="E171" s="347">
        <v>40589</v>
      </c>
      <c r="F171" s="146">
        <v>23436329</v>
      </c>
      <c r="G171" s="146">
        <v>23430569</v>
      </c>
      <c r="H171" s="146">
        <f t="shared" si="4"/>
        <v>5760</v>
      </c>
      <c r="I171" s="85">
        <v>0</v>
      </c>
    </row>
    <row r="172" spans="1:9" s="78" customFormat="1" ht="14.25" customHeight="1">
      <c r="A172" s="339" t="s">
        <v>34</v>
      </c>
      <c r="B172" s="338" t="s">
        <v>647</v>
      </c>
      <c r="C172" s="343">
        <v>5</v>
      </c>
      <c r="D172" s="340" t="s">
        <v>35</v>
      </c>
      <c r="E172" s="347">
        <v>40770</v>
      </c>
      <c r="F172" s="146">
        <v>26635316</v>
      </c>
      <c r="G172" s="146">
        <v>26631316</v>
      </c>
      <c r="H172" s="146">
        <f t="shared" si="4"/>
        <v>4000</v>
      </c>
      <c r="I172" s="85">
        <v>0</v>
      </c>
    </row>
    <row r="173" spans="1:10" s="78" customFormat="1" ht="14.25" customHeight="1">
      <c r="A173" s="339" t="s">
        <v>100</v>
      </c>
      <c r="B173" s="338" t="s">
        <v>635</v>
      </c>
      <c r="C173" s="343" t="s">
        <v>101</v>
      </c>
      <c r="D173" s="340" t="s">
        <v>102</v>
      </c>
      <c r="E173" s="347">
        <v>40954</v>
      </c>
      <c r="F173" s="146">
        <v>13389295</v>
      </c>
      <c r="G173" s="146">
        <v>13389295</v>
      </c>
      <c r="H173" s="146">
        <f>SUM(F173-G173)</f>
        <v>0</v>
      </c>
      <c r="I173" s="85">
        <v>0</v>
      </c>
      <c r="J173" s="78" t="s">
        <v>560</v>
      </c>
    </row>
    <row r="174" spans="1:9" s="78" customFormat="1" ht="14.25" customHeight="1">
      <c r="A174" s="308"/>
      <c r="B174" s="338"/>
      <c r="C174" s="343"/>
      <c r="D174" s="344"/>
      <c r="E174" s="353"/>
      <c r="F174" s="434"/>
      <c r="G174" s="146"/>
      <c r="H174" s="146"/>
      <c r="I174" s="85"/>
    </row>
    <row r="175" spans="1:9" s="78" customFormat="1" ht="14.25" customHeight="1">
      <c r="A175" s="315" t="s">
        <v>502</v>
      </c>
      <c r="B175" s="338"/>
      <c r="C175" s="343"/>
      <c r="D175" s="340" t="s">
        <v>560</v>
      </c>
      <c r="E175" s="353"/>
      <c r="F175" s="146">
        <f>SUM(F98:F174)</f>
        <v>1411654848</v>
      </c>
      <c r="G175" s="146">
        <f>SUM(G98:G174)</f>
        <v>1388086516</v>
      </c>
      <c r="H175" s="146">
        <f>SUM(H98:H174)</f>
        <v>23568332</v>
      </c>
      <c r="I175" s="85">
        <f>SUM(I98:I174)</f>
        <v>507080</v>
      </c>
    </row>
    <row r="176" spans="1:9" s="78" customFormat="1" ht="15.75" customHeight="1">
      <c r="A176" s="315"/>
      <c r="B176" s="338"/>
      <c r="C176" s="343"/>
      <c r="D176" s="82"/>
      <c r="E176" s="365"/>
      <c r="F176" s="146"/>
      <c r="G176" s="146"/>
      <c r="H176" s="146"/>
      <c r="I176" s="85"/>
    </row>
    <row r="177" spans="1:10" s="78" customFormat="1" ht="16.5" customHeight="1" thickBot="1">
      <c r="A177" s="366" t="s">
        <v>422</v>
      </c>
      <c r="B177" s="367"/>
      <c r="C177" s="367"/>
      <c r="D177" s="367"/>
      <c r="E177" s="367"/>
      <c r="F177" s="148">
        <f>SUM(+F64+F175+F76+F84)</f>
        <v>2060876051</v>
      </c>
      <c r="G177" s="148">
        <f>SUM(+G64+G175+G76+G84)</f>
        <v>1892490528</v>
      </c>
      <c r="H177" s="148">
        <f>SUM(+H64+H175+H76+H84)</f>
        <v>168385523</v>
      </c>
      <c r="I177" s="148">
        <f>SUM(+I64+I175+I76+I84)</f>
        <v>10272351</v>
      </c>
      <c r="J177" s="368"/>
    </row>
    <row r="178" spans="1:10" s="78" customFormat="1" ht="16.5" customHeight="1" thickTop="1">
      <c r="A178" s="369"/>
      <c r="B178" s="186"/>
      <c r="C178" s="186"/>
      <c r="D178" s="186"/>
      <c r="E178" s="186"/>
      <c r="F178" s="186"/>
      <c r="G178" s="186"/>
      <c r="H178" s="186"/>
      <c r="I178" s="186"/>
      <c r="J178" s="322"/>
    </row>
    <row r="179" spans="1:10" s="78" customFormat="1" ht="16.5" customHeight="1">
      <c r="A179" s="369"/>
      <c r="B179" s="186"/>
      <c r="C179" s="186"/>
      <c r="D179" s="186"/>
      <c r="E179" s="186"/>
      <c r="F179" s="186"/>
      <c r="G179" s="186"/>
      <c r="H179" s="186"/>
      <c r="I179" s="186"/>
      <c r="J179" s="322"/>
    </row>
    <row r="180" spans="1:10" s="78" customFormat="1" ht="16.5" customHeight="1">
      <c r="A180" s="369"/>
      <c r="B180" s="186"/>
      <c r="C180" s="186"/>
      <c r="D180" s="186"/>
      <c r="E180" s="186"/>
      <c r="F180" s="186"/>
      <c r="G180" s="186"/>
      <c r="H180" s="186"/>
      <c r="I180" s="186"/>
      <c r="J180" s="322"/>
    </row>
    <row r="181" spans="1:10" s="78" customFormat="1" ht="16.5" customHeight="1">
      <c r="A181" s="369"/>
      <c r="B181" s="186"/>
      <c r="C181" s="186"/>
      <c r="D181" s="186"/>
      <c r="E181" s="186"/>
      <c r="F181" s="186"/>
      <c r="G181" s="186"/>
      <c r="H181" s="186"/>
      <c r="I181" s="186"/>
      <c r="J181" s="322"/>
    </row>
    <row r="182" spans="1:16" s="78" customFormat="1" ht="15.75" customHeight="1" thickBot="1">
      <c r="A182" s="112"/>
      <c r="B182" s="112"/>
      <c r="C182" s="112"/>
      <c r="D182" s="112"/>
      <c r="E182" s="112"/>
      <c r="F182" s="370"/>
      <c r="G182" s="371"/>
      <c r="H182" s="371"/>
      <c r="I182" s="372"/>
      <c r="J182" s="373"/>
      <c r="K182" s="182"/>
      <c r="L182" s="249"/>
      <c r="M182" s="182"/>
      <c r="N182" s="249"/>
      <c r="O182" s="182"/>
      <c r="P182" s="182"/>
    </row>
    <row r="183" spans="1:10" s="78" customFormat="1" ht="16.5" customHeight="1" thickTop="1">
      <c r="A183" s="369"/>
      <c r="B183" s="186"/>
      <c r="C183" s="186"/>
      <c r="D183" s="186"/>
      <c r="E183" s="186"/>
      <c r="F183" s="186"/>
      <c r="G183" s="186"/>
      <c r="H183" s="186"/>
      <c r="I183" s="186"/>
      <c r="J183" s="322"/>
    </row>
    <row r="184" s="78" customFormat="1" ht="14.25" customHeight="1"/>
    <row r="185" s="78" customFormat="1" ht="15"/>
    <row r="186" s="78" customFormat="1" ht="15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  <row r="231" s="78" customFormat="1" ht="15"/>
    <row r="232" s="78" customFormat="1" ht="15"/>
  </sheetData>
  <mergeCells count="1">
    <mergeCell ref="G10:J10"/>
  </mergeCells>
  <printOptions horizontalCentered="1"/>
  <pageMargins left="0.5" right="0.5" top="0.4" bottom="0.25" header="0" footer="0"/>
  <pageSetup fitToHeight="2" horizontalDpi="300" verticalDpi="300" orientation="portrait" scale="47" r:id="rId1"/>
  <rowBreaks count="1" manualBreakCount="1">
    <brk id="8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80"/>
  <sheetViews>
    <sheetView showGridLines="0" view="pageBreakPreview" zoomScale="75" zoomScaleNormal="72" zoomScaleSheetLayoutView="75" workbookViewId="0" topLeftCell="A3">
      <selection activeCell="A32" sqref="A32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78" customFormat="1" ht="15.75">
      <c r="A1" s="75">
        <v>12</v>
      </c>
      <c r="B1" s="76" t="s">
        <v>19</v>
      </c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="78" customFormat="1" ht="15">
      <c r="B2" s="374"/>
    </row>
    <row r="3" spans="1:2" s="78" customFormat="1" ht="16.5" customHeight="1">
      <c r="A3" s="339" t="s">
        <v>423</v>
      </c>
      <c r="B3" s="144" t="s">
        <v>316</v>
      </c>
    </row>
    <row r="4" spans="1:3" s="78" customFormat="1" ht="16.5" customHeight="1">
      <c r="A4" s="87">
        <v>1</v>
      </c>
      <c r="B4" s="144" t="s">
        <v>718</v>
      </c>
      <c r="C4" s="319"/>
    </row>
    <row r="5" spans="1:3" s="78" customFormat="1" ht="16.5" customHeight="1">
      <c r="A5" s="64">
        <v>2</v>
      </c>
      <c r="B5" s="144" t="s">
        <v>794</v>
      </c>
      <c r="C5" s="319"/>
    </row>
    <row r="6" spans="1:3" s="78" customFormat="1" ht="16.5" customHeight="1">
      <c r="A6" s="64"/>
      <c r="B6" s="144" t="s">
        <v>793</v>
      </c>
      <c r="C6" s="319"/>
    </row>
    <row r="7" spans="1:3" s="78" customFormat="1" ht="16.5" customHeight="1">
      <c r="A7" s="64">
        <v>3</v>
      </c>
      <c r="B7" s="144" t="s">
        <v>424</v>
      </c>
      <c r="C7" s="319"/>
    </row>
    <row r="8" spans="1:3" s="78" customFormat="1" ht="16.5" customHeight="1">
      <c r="A8" s="64">
        <v>4</v>
      </c>
      <c r="B8" s="144" t="s">
        <v>799</v>
      </c>
      <c r="C8" s="319"/>
    </row>
    <row r="9" spans="1:3" s="78" customFormat="1" ht="16.5" customHeight="1">
      <c r="A9" s="64">
        <v>5</v>
      </c>
      <c r="B9" s="144" t="s">
        <v>429</v>
      </c>
      <c r="C9" s="319"/>
    </row>
    <row r="10" spans="1:3" s="78" customFormat="1" ht="16.5" customHeight="1">
      <c r="A10" s="64">
        <v>6</v>
      </c>
      <c r="B10" s="144" t="s">
        <v>430</v>
      </c>
      <c r="C10" s="319"/>
    </row>
    <row r="11" spans="1:3" s="78" customFormat="1" ht="16.5" customHeight="1">
      <c r="A11" s="64"/>
      <c r="B11" s="144" t="s">
        <v>71</v>
      </c>
      <c r="C11" s="319"/>
    </row>
    <row r="12" spans="1:3" s="78" customFormat="1" ht="16.5" customHeight="1">
      <c r="A12" s="64"/>
      <c r="B12" s="144" t="s">
        <v>574</v>
      </c>
      <c r="C12" s="319"/>
    </row>
    <row r="13" spans="1:2" s="78" customFormat="1" ht="16.5" customHeight="1">
      <c r="A13" s="64">
        <v>7</v>
      </c>
      <c r="B13" s="144" t="s">
        <v>431</v>
      </c>
    </row>
    <row r="14" spans="1:2" s="78" customFormat="1" ht="16.5" customHeight="1">
      <c r="A14" s="64">
        <v>8</v>
      </c>
      <c r="B14" s="144" t="s">
        <v>695</v>
      </c>
    </row>
    <row r="15" spans="1:2" s="78" customFormat="1" ht="16.5" customHeight="1">
      <c r="A15" s="64">
        <v>9</v>
      </c>
      <c r="B15" s="144" t="s">
        <v>433</v>
      </c>
    </row>
    <row r="16" spans="1:2" s="78" customFormat="1" ht="16.5" customHeight="1">
      <c r="A16" s="64">
        <v>10</v>
      </c>
      <c r="B16" s="144" t="s">
        <v>434</v>
      </c>
    </row>
    <row r="17" spans="1:2" s="78" customFormat="1" ht="16.5" customHeight="1">
      <c r="A17" s="64">
        <v>11</v>
      </c>
      <c r="B17" s="144" t="s">
        <v>440</v>
      </c>
    </row>
    <row r="18" spans="1:2" s="78" customFormat="1" ht="16.5" customHeight="1">
      <c r="A18" s="64"/>
      <c r="B18" s="144" t="s">
        <v>441</v>
      </c>
    </row>
    <row r="19" spans="1:2" s="78" customFormat="1" ht="16.5" customHeight="1">
      <c r="A19" s="64">
        <v>12</v>
      </c>
      <c r="B19" s="144" t="s">
        <v>442</v>
      </c>
    </row>
    <row r="20" spans="1:2" s="78" customFormat="1" ht="16.5" customHeight="1">
      <c r="A20" s="64">
        <v>13</v>
      </c>
      <c r="B20" s="144" t="s">
        <v>443</v>
      </c>
    </row>
    <row r="21" spans="1:2" s="78" customFormat="1" ht="16.5" customHeight="1">
      <c r="A21" s="64"/>
      <c r="B21" s="144" t="s">
        <v>446</v>
      </c>
    </row>
    <row r="22" spans="1:2" s="78" customFormat="1" ht="16.5" customHeight="1">
      <c r="A22" s="64">
        <v>14</v>
      </c>
      <c r="B22" s="144" t="s">
        <v>447</v>
      </c>
    </row>
    <row r="23" spans="1:2" s="78" customFormat="1" ht="16.5" customHeight="1">
      <c r="A23" s="64"/>
      <c r="B23" s="144" t="s">
        <v>448</v>
      </c>
    </row>
    <row r="24" spans="1:2" s="78" customFormat="1" ht="16.5" customHeight="1">
      <c r="A24" s="64">
        <v>15</v>
      </c>
      <c r="B24" s="144" t="s">
        <v>449</v>
      </c>
    </row>
    <row r="25" spans="1:2" s="78" customFormat="1" ht="16.5" customHeight="1">
      <c r="A25" s="64"/>
      <c r="B25" s="144" t="s">
        <v>450</v>
      </c>
    </row>
    <row r="26" spans="1:2" s="78" customFormat="1" ht="16.5" customHeight="1">
      <c r="A26" s="64">
        <v>16</v>
      </c>
      <c r="B26" s="144" t="s">
        <v>451</v>
      </c>
    </row>
    <row r="27" spans="1:2" s="78" customFormat="1" ht="16.5" customHeight="1">
      <c r="A27" s="64"/>
      <c r="B27" s="144" t="s">
        <v>452</v>
      </c>
    </row>
    <row r="28" spans="1:2" s="78" customFormat="1" ht="16.5" customHeight="1">
      <c r="A28" s="64">
        <v>17</v>
      </c>
      <c r="B28" s="144" t="s">
        <v>453</v>
      </c>
    </row>
    <row r="29" spans="1:2" s="78" customFormat="1" ht="16.5" customHeight="1">
      <c r="A29" s="64">
        <v>18</v>
      </c>
      <c r="B29" s="144" t="s">
        <v>29</v>
      </c>
    </row>
    <row r="30" spans="1:2" s="78" customFormat="1" ht="16.5" customHeight="1">
      <c r="A30" s="64">
        <v>19</v>
      </c>
      <c r="B30" s="144" t="s">
        <v>116</v>
      </c>
    </row>
    <row r="31" spans="1:2" s="78" customFormat="1" ht="16.5" customHeight="1">
      <c r="A31" s="64"/>
      <c r="B31" s="144" t="s">
        <v>571</v>
      </c>
    </row>
    <row r="32" spans="1:2" s="78" customFormat="1" ht="16.5" customHeight="1">
      <c r="A32" s="87">
        <v>20</v>
      </c>
      <c r="B32" s="144" t="s">
        <v>506</v>
      </c>
    </row>
    <row r="33" spans="1:3" s="78" customFormat="1" ht="16.5" customHeight="1">
      <c r="A33" s="64"/>
      <c r="B33" s="144"/>
      <c r="C33" s="319"/>
    </row>
    <row r="34" spans="1:2" s="78" customFormat="1" ht="16.5" customHeight="1">
      <c r="A34" s="144" t="s">
        <v>454</v>
      </c>
      <c r="B34" s="374"/>
    </row>
    <row r="35" s="78" customFormat="1" ht="16.5" customHeight="1">
      <c r="B35" s="144" t="s">
        <v>455</v>
      </c>
    </row>
    <row r="36" s="78" customFormat="1" ht="16.5" customHeight="1">
      <c r="B36" s="144" t="s">
        <v>456</v>
      </c>
    </row>
    <row r="37" s="78" customFormat="1" ht="16.5" customHeight="1">
      <c r="B37" s="144"/>
    </row>
    <row r="38" s="78" customFormat="1" ht="16.5" customHeight="1">
      <c r="B38" s="144"/>
    </row>
    <row r="39" spans="1:7" s="78" customFormat="1" ht="14.25" customHeight="1">
      <c r="A39" s="375" t="s">
        <v>85</v>
      </c>
      <c r="B39" s="376"/>
      <c r="C39" s="126"/>
      <c r="D39" s="126"/>
      <c r="E39" s="126"/>
      <c r="F39" s="126"/>
      <c r="G39" s="126"/>
    </row>
    <row r="40" spans="1:7" s="78" customFormat="1" ht="14.25" customHeight="1">
      <c r="A40" s="375"/>
      <c r="B40" s="377"/>
      <c r="C40" s="316"/>
      <c r="D40" s="316"/>
      <c r="E40" s="316"/>
      <c r="F40" s="316"/>
      <c r="G40" s="316"/>
    </row>
    <row r="41" spans="1:7" s="78" customFormat="1" ht="14.25" customHeight="1">
      <c r="A41" s="150"/>
      <c r="B41" s="151" t="s">
        <v>801</v>
      </c>
      <c r="C41" s="152" t="s">
        <v>309</v>
      </c>
      <c r="D41" s="378"/>
      <c r="E41" s="152" t="s">
        <v>310</v>
      </c>
      <c r="F41" s="152"/>
      <c r="G41" s="378"/>
    </row>
    <row r="42" spans="1:7" s="78" customFormat="1" ht="14.25" customHeight="1">
      <c r="A42" s="379"/>
      <c r="B42" s="153">
        <v>79465.45</v>
      </c>
      <c r="C42" s="380">
        <v>248103.96</v>
      </c>
      <c r="D42" s="381"/>
      <c r="E42" s="380">
        <v>1645082.28</v>
      </c>
      <c r="F42" s="382"/>
      <c r="G42" s="381"/>
    </row>
    <row r="43" spans="1:2" s="78" customFormat="1" ht="14.25" customHeight="1">
      <c r="A43" s="383"/>
      <c r="B43" s="154" t="s">
        <v>773</v>
      </c>
    </row>
    <row r="44" spans="1:7" s="78" customFormat="1" ht="14.25" customHeight="1">
      <c r="A44" s="383"/>
      <c r="B44" s="384"/>
      <c r="C44" s="383"/>
      <c r="D44" s="383"/>
      <c r="E44" s="383"/>
      <c r="F44" s="77"/>
      <c r="G44" s="383"/>
    </row>
    <row r="45" spans="1:7" s="78" customFormat="1" ht="16.5" customHeight="1">
      <c r="A45" s="383"/>
      <c r="B45" s="384"/>
      <c r="C45" s="383"/>
      <c r="D45" s="383"/>
      <c r="E45" s="383"/>
      <c r="F45" s="77"/>
      <c r="G45" s="383"/>
    </row>
    <row r="46" spans="1:2" s="78" customFormat="1" ht="16.5" customHeight="1">
      <c r="A46" s="144" t="s">
        <v>579</v>
      </c>
      <c r="B46" s="374"/>
    </row>
    <row r="47" spans="1:2" s="78" customFormat="1" ht="16.5" customHeight="1">
      <c r="A47" s="74" t="s">
        <v>597</v>
      </c>
      <c r="B47" s="144" t="s">
        <v>117</v>
      </c>
    </row>
    <row r="48" spans="1:2" s="78" customFormat="1" ht="16.5" customHeight="1">
      <c r="A48" s="74"/>
      <c r="B48" s="144" t="s">
        <v>118</v>
      </c>
    </row>
    <row r="49" spans="1:2" s="78" customFormat="1" ht="16.5" customHeight="1">
      <c r="A49" s="74" t="s">
        <v>471</v>
      </c>
      <c r="B49" s="144" t="s">
        <v>507</v>
      </c>
    </row>
    <row r="50" spans="1:2" s="78" customFormat="1" ht="16.5" customHeight="1">
      <c r="A50" s="74"/>
      <c r="B50" s="144" t="s">
        <v>119</v>
      </c>
    </row>
    <row r="51" spans="1:2" s="78" customFormat="1" ht="16.5" customHeight="1">
      <c r="A51" s="319"/>
      <c r="B51" s="374"/>
    </row>
    <row r="52" s="78" customFormat="1" ht="16.5" customHeight="1">
      <c r="B52" s="374"/>
    </row>
    <row r="53" spans="1:2" s="78" customFormat="1" ht="16.5" customHeight="1">
      <c r="A53" s="144" t="s">
        <v>473</v>
      </c>
      <c r="B53" s="374"/>
    </row>
    <row r="54" spans="1:2" s="78" customFormat="1" ht="16.5" customHeight="1">
      <c r="A54" s="74" t="s">
        <v>474</v>
      </c>
      <c r="B54" s="144" t="s">
        <v>472</v>
      </c>
    </row>
    <row r="55" spans="1:2" s="78" customFormat="1" ht="16.5" customHeight="1">
      <c r="A55" s="74" t="s">
        <v>715</v>
      </c>
      <c r="B55" s="144" t="s">
        <v>475</v>
      </c>
    </row>
    <row r="56" spans="1:2" s="78" customFormat="1" ht="16.5" customHeight="1">
      <c r="A56" s="74"/>
      <c r="B56" s="144" t="s">
        <v>483</v>
      </c>
    </row>
    <row r="57" spans="1:2" s="78" customFormat="1" ht="16.5" customHeight="1">
      <c r="A57" s="74"/>
      <c r="B57" s="144" t="s">
        <v>484</v>
      </c>
    </row>
    <row r="58" spans="1:2" s="78" customFormat="1" ht="17.25" customHeight="1">
      <c r="A58" s="74"/>
      <c r="B58" s="144" t="s">
        <v>485</v>
      </c>
    </row>
    <row r="59" spans="1:2" s="78" customFormat="1" ht="18">
      <c r="A59" s="74" t="s">
        <v>490</v>
      </c>
      <c r="B59" s="144" t="s">
        <v>489</v>
      </c>
    </row>
    <row r="60" spans="1:2" s="78" customFormat="1" ht="18">
      <c r="A60" s="74" t="s">
        <v>580</v>
      </c>
      <c r="B60" s="144" t="s">
        <v>552</v>
      </c>
    </row>
    <row r="61" spans="1:2" s="78" customFormat="1" ht="15">
      <c r="A61" s="319"/>
      <c r="B61" s="78" t="s">
        <v>553</v>
      </c>
    </row>
    <row r="62" s="78" customFormat="1" ht="15">
      <c r="A62" s="319"/>
    </row>
    <row r="63" s="78" customFormat="1" ht="15">
      <c r="A63" s="319"/>
    </row>
    <row r="64" s="78" customFormat="1" ht="15">
      <c r="A64" s="319"/>
    </row>
    <row r="65" s="78" customFormat="1" ht="15">
      <c r="A65" s="319"/>
    </row>
    <row r="66" s="78" customFormat="1" ht="15">
      <c r="A66" s="319"/>
    </row>
    <row r="67" s="78" customFormat="1" ht="15">
      <c r="A67" s="319"/>
    </row>
    <row r="68" s="78" customFormat="1" ht="15">
      <c r="A68" s="319"/>
    </row>
    <row r="69" s="78" customFormat="1" ht="15">
      <c r="A69" s="319"/>
    </row>
    <row r="70" spans="1:2" s="78" customFormat="1" ht="15">
      <c r="A70" s="319"/>
      <c r="B70" s="374"/>
    </row>
    <row r="71" spans="1:2" s="78" customFormat="1" ht="15">
      <c r="A71" s="319"/>
      <c r="B71" s="374"/>
    </row>
    <row r="72" spans="1:13" s="78" customFormat="1" ht="15">
      <c r="A72" s="385"/>
      <c r="B72" s="385"/>
      <c r="C72" s="385"/>
      <c r="D72" s="316"/>
      <c r="E72" s="316"/>
      <c r="F72" s="316"/>
      <c r="G72" s="316"/>
      <c r="H72" s="316"/>
      <c r="I72" s="316"/>
      <c r="J72" s="316"/>
      <c r="K72" s="316"/>
      <c r="L72" s="316"/>
      <c r="M72" s="316"/>
    </row>
    <row r="73" spans="1:13" s="78" customFormat="1" ht="15">
      <c r="A73" s="77" t="s">
        <v>554</v>
      </c>
      <c r="B73" s="318"/>
      <c r="C73" s="318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78" customFormat="1" ht="15">
      <c r="A74" s="77" t="s">
        <v>555</v>
      </c>
      <c r="B74" s="318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78" customFormat="1" ht="15">
      <c r="A75" s="77" t="s">
        <v>556</v>
      </c>
      <c r="B75" s="31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3" s="78" customFormat="1" ht="15">
      <c r="A76" s="77"/>
      <c r="B76" s="318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="78" customFormat="1" ht="15">
      <c r="B77" s="374"/>
    </row>
    <row r="78" s="78" customFormat="1" ht="15">
      <c r="B78" s="374"/>
    </row>
    <row r="79" s="78" customFormat="1" ht="15">
      <c r="B79" s="374"/>
    </row>
    <row r="80" s="78" customFormat="1" ht="15">
      <c r="B80" s="374"/>
    </row>
    <row r="81" s="78" customFormat="1" ht="15"/>
    <row r="82" s="78" customFormat="1" ht="15"/>
    <row r="83" s="78" customFormat="1" ht="15"/>
    <row r="84" s="78" customFormat="1" ht="15"/>
    <row r="85" s="78" customFormat="1" ht="15"/>
    <row r="86" s="78" customFormat="1" ht="15"/>
    <row r="87" s="78" customFormat="1" ht="15"/>
    <row r="88" s="78" customFormat="1" ht="15"/>
    <row r="89" s="78" customFormat="1" ht="15"/>
    <row r="90" s="78" customFormat="1" ht="15"/>
    <row r="91" s="78" customFormat="1" ht="15"/>
    <row r="92" s="78" customFormat="1" ht="15"/>
    <row r="93" s="78" customFormat="1" ht="15"/>
    <row r="94" s="78" customFormat="1" ht="15"/>
    <row r="95" s="78" customFormat="1" ht="15"/>
    <row r="96" s="78" customFormat="1" ht="15"/>
    <row r="97" s="78" customFormat="1" ht="15"/>
    <row r="98" s="78" customFormat="1" ht="15"/>
    <row r="99" s="78" customFormat="1" ht="15"/>
    <row r="100" s="78" customFormat="1" ht="15"/>
    <row r="101" s="78" customFormat="1" ht="15"/>
    <row r="102" s="78" customFormat="1" ht="15"/>
    <row r="103" s="78" customFormat="1" ht="15"/>
    <row r="104" s="78" customFormat="1" ht="15"/>
    <row r="105" s="78" customFormat="1" ht="15"/>
    <row r="106" s="78" customFormat="1" ht="15"/>
    <row r="107" s="78" customFormat="1" ht="15"/>
    <row r="108" s="78" customFormat="1" ht="15"/>
    <row r="109" s="78" customFormat="1" ht="15"/>
    <row r="110" s="78" customFormat="1" ht="15"/>
    <row r="111" s="78" customFormat="1" ht="15"/>
    <row r="112" s="78" customFormat="1" ht="15"/>
    <row r="113" s="78" customFormat="1" ht="15"/>
    <row r="114" s="78" customFormat="1" ht="15"/>
    <row r="115" s="78" customFormat="1" ht="15"/>
    <row r="116" s="78" customFormat="1" ht="15"/>
    <row r="117" s="78" customFormat="1" ht="15"/>
    <row r="118" s="78" customFormat="1" ht="15"/>
    <row r="119" s="78" customFormat="1" ht="15"/>
    <row r="120" s="78" customFormat="1" ht="15"/>
    <row r="121" s="78" customFormat="1" ht="15"/>
    <row r="122" s="78" customFormat="1" ht="15"/>
    <row r="123" s="78" customFormat="1" ht="15"/>
    <row r="124" s="78" customFormat="1" ht="15"/>
    <row r="125" s="78" customFormat="1" ht="15"/>
    <row r="126" s="78" customFormat="1" ht="15"/>
    <row r="127" s="78" customFormat="1" ht="15"/>
    <row r="128" s="78" customFormat="1" ht="15"/>
    <row r="129" s="78" customFormat="1" ht="15"/>
    <row r="130" s="78" customFormat="1" ht="15"/>
    <row r="131" s="78" customFormat="1" ht="15"/>
    <row r="132" s="78" customFormat="1" ht="15"/>
    <row r="133" s="78" customFormat="1" ht="15"/>
    <row r="134" s="78" customFormat="1" ht="15"/>
    <row r="135" s="78" customFormat="1" ht="15"/>
    <row r="136" s="78" customFormat="1" ht="15"/>
    <row r="137" s="78" customFormat="1" ht="15"/>
    <row r="138" s="78" customFormat="1" ht="15"/>
    <row r="139" s="78" customFormat="1" ht="15"/>
    <row r="140" s="78" customFormat="1" ht="15"/>
    <row r="141" s="78" customFormat="1" ht="15"/>
    <row r="142" s="78" customFormat="1" ht="15"/>
    <row r="143" s="78" customFormat="1" ht="15"/>
    <row r="144" s="78" customFormat="1" ht="15"/>
    <row r="145" s="78" customFormat="1" ht="15"/>
    <row r="146" s="78" customFormat="1" ht="15"/>
    <row r="147" s="78" customFormat="1" ht="15"/>
    <row r="148" s="78" customFormat="1" ht="15"/>
    <row r="149" s="78" customFormat="1" ht="15"/>
    <row r="150" s="78" customFormat="1" ht="15"/>
    <row r="151" s="78" customFormat="1" ht="15"/>
    <row r="152" s="78" customFormat="1" ht="15"/>
    <row r="153" s="78" customFormat="1" ht="15"/>
    <row r="154" s="78" customFormat="1" ht="15"/>
    <row r="155" s="78" customFormat="1" ht="15"/>
    <row r="156" s="78" customFormat="1" ht="15"/>
    <row r="157" s="78" customFormat="1" ht="15"/>
    <row r="158" s="78" customFormat="1" ht="15"/>
    <row r="159" s="78" customFormat="1" ht="15"/>
    <row r="160" s="78" customFormat="1" ht="15"/>
    <row r="161" s="78" customFormat="1" ht="15"/>
    <row r="162" s="78" customFormat="1" ht="15"/>
    <row r="163" s="78" customFormat="1" ht="15"/>
    <row r="164" s="78" customFormat="1" ht="15"/>
    <row r="165" s="78" customFormat="1" ht="15"/>
    <row r="166" s="78" customFormat="1" ht="15"/>
    <row r="167" s="78" customFormat="1" ht="15"/>
    <row r="168" s="78" customFormat="1" ht="15"/>
    <row r="169" s="78" customFormat="1" ht="15"/>
    <row r="170" s="78" customFormat="1" ht="15"/>
    <row r="171" s="78" customFormat="1" ht="15"/>
    <row r="172" s="78" customFormat="1" ht="15"/>
    <row r="173" s="78" customFormat="1" ht="15"/>
    <row r="174" s="78" customFormat="1" ht="15"/>
    <row r="175" s="78" customFormat="1" ht="15"/>
    <row r="176" s="78" customFormat="1" ht="15"/>
    <row r="177" s="78" customFormat="1" ht="15"/>
    <row r="178" s="78" customFormat="1" ht="15"/>
    <row r="179" s="78" customFormat="1" ht="15"/>
    <row r="180" s="78" customFormat="1" ht="15"/>
    <row r="181" s="78" customFormat="1" ht="15"/>
    <row r="182" s="78" customFormat="1" ht="15"/>
    <row r="183" s="78" customFormat="1" ht="15"/>
    <row r="184" s="78" customFormat="1" ht="15"/>
    <row r="185" s="78" customFormat="1" ht="15"/>
    <row r="186" s="78" customFormat="1" ht="15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  <row r="231" s="78" customFormat="1" ht="15"/>
    <row r="232" s="78" customFormat="1" ht="15"/>
    <row r="233" s="78" customFormat="1" ht="15"/>
    <row r="234" s="78" customFormat="1" ht="15"/>
    <row r="235" s="78" customFormat="1" ht="15"/>
    <row r="236" s="78" customFormat="1" ht="15"/>
    <row r="237" s="78" customFormat="1" ht="15"/>
    <row r="238" s="78" customFormat="1" ht="15"/>
    <row r="239" s="78" customFormat="1" ht="15"/>
    <row r="240" s="78" customFormat="1" ht="15"/>
    <row r="241" s="78" customFormat="1" ht="15"/>
    <row r="242" s="78" customFormat="1" ht="15"/>
    <row r="243" s="78" customFormat="1" ht="15"/>
    <row r="244" s="78" customFormat="1" ht="15"/>
    <row r="245" s="78" customFormat="1" ht="15"/>
    <row r="246" s="78" customFormat="1" ht="15"/>
    <row r="247" s="78" customFormat="1" ht="15"/>
    <row r="248" s="78" customFormat="1" ht="15"/>
    <row r="249" s="78" customFormat="1" ht="15"/>
    <row r="250" s="78" customFormat="1" ht="15"/>
    <row r="251" s="78" customFormat="1" ht="15"/>
    <row r="252" s="78" customFormat="1" ht="15"/>
    <row r="253" s="78" customFormat="1" ht="15"/>
    <row r="254" s="78" customFormat="1" ht="15"/>
    <row r="255" s="78" customFormat="1" ht="15"/>
    <row r="256" s="78" customFormat="1" ht="15"/>
    <row r="257" s="78" customFormat="1" ht="15"/>
    <row r="258" s="78" customFormat="1" ht="15"/>
    <row r="259" s="78" customFormat="1" ht="15"/>
    <row r="260" s="78" customFormat="1" ht="15"/>
    <row r="261" s="78" customFormat="1" ht="15"/>
    <row r="262" s="78" customFormat="1" ht="15"/>
    <row r="263" s="78" customFormat="1" ht="15"/>
    <row r="264" s="78" customFormat="1" ht="15"/>
    <row r="265" s="78" customFormat="1" ht="15"/>
    <row r="266" s="78" customFormat="1" ht="15"/>
    <row r="267" s="78" customFormat="1" ht="15"/>
    <row r="268" s="78" customFormat="1" ht="15"/>
    <row r="269" s="78" customFormat="1" ht="15"/>
    <row r="270" s="78" customFormat="1" ht="15"/>
    <row r="271" s="78" customFormat="1" ht="15"/>
    <row r="272" s="78" customFormat="1" ht="15"/>
    <row r="273" s="78" customFormat="1" ht="15"/>
    <row r="274" s="78" customFormat="1" ht="15"/>
    <row r="275" s="78" customFormat="1" ht="15"/>
    <row r="276" s="78" customFormat="1" ht="15"/>
    <row r="277" s="78" customFormat="1" ht="15"/>
    <row r="278" s="78" customFormat="1" ht="15"/>
    <row r="279" s="78" customFormat="1" ht="15"/>
    <row r="280" s="78" customFormat="1" ht="15"/>
    <row r="281" s="78" customFormat="1" ht="15"/>
    <row r="282" s="78" customFormat="1" ht="15"/>
    <row r="283" s="78" customFormat="1" ht="15"/>
    <row r="284" s="78" customFormat="1" ht="15"/>
    <row r="285" s="78" customFormat="1" ht="15"/>
    <row r="286" s="78" customFormat="1" ht="15"/>
    <row r="287" s="78" customFormat="1" ht="15"/>
    <row r="288" s="78" customFormat="1" ht="15"/>
    <row r="289" s="78" customFormat="1" ht="15"/>
    <row r="290" s="78" customFormat="1" ht="15"/>
    <row r="291" s="78" customFormat="1" ht="15"/>
    <row r="292" s="78" customFormat="1" ht="15"/>
    <row r="293" s="78" customFormat="1" ht="15"/>
    <row r="294" s="78" customFormat="1" ht="15"/>
    <row r="295" s="78" customFormat="1" ht="15"/>
    <row r="296" s="78" customFormat="1" ht="15"/>
    <row r="297" s="78" customFormat="1" ht="15"/>
    <row r="298" s="78" customFormat="1" ht="15"/>
    <row r="299" s="78" customFormat="1" ht="15"/>
    <row r="300" s="78" customFormat="1" ht="15"/>
    <row r="301" s="78" customFormat="1" ht="15"/>
    <row r="302" s="78" customFormat="1" ht="15"/>
    <row r="303" s="78" customFormat="1" ht="15"/>
    <row r="304" s="78" customFormat="1" ht="15"/>
    <row r="305" s="78" customFormat="1" ht="15"/>
    <row r="306" s="78" customFormat="1" ht="15"/>
    <row r="307" s="78" customFormat="1" ht="15"/>
    <row r="308" s="78" customFormat="1" ht="15"/>
    <row r="309" s="78" customFormat="1" ht="15"/>
    <row r="310" s="78" customFormat="1" ht="15"/>
    <row r="311" s="78" customFormat="1" ht="15"/>
    <row r="312" s="78" customFormat="1" ht="15"/>
    <row r="313" s="78" customFormat="1" ht="15"/>
    <row r="314" s="78" customFormat="1" ht="15"/>
    <row r="315" s="78" customFormat="1" ht="15"/>
    <row r="316" s="78" customFormat="1" ht="15"/>
    <row r="317" s="78" customFormat="1" ht="15"/>
    <row r="318" s="78" customFormat="1" ht="15"/>
    <row r="319" s="78" customFormat="1" ht="15"/>
    <row r="320" s="78" customFormat="1" ht="15"/>
    <row r="321" s="78" customFormat="1" ht="15"/>
    <row r="322" s="78" customFormat="1" ht="15"/>
    <row r="323" s="78" customFormat="1" ht="15"/>
    <row r="324" s="78" customFormat="1" ht="15"/>
    <row r="325" s="78" customFormat="1" ht="15"/>
    <row r="326" s="78" customFormat="1" ht="15"/>
    <row r="327" s="78" customFormat="1" ht="15"/>
    <row r="328" s="78" customFormat="1" ht="15"/>
    <row r="329" s="78" customFormat="1" ht="15"/>
    <row r="330" s="78" customFormat="1" ht="15"/>
    <row r="331" s="78" customFormat="1" ht="15"/>
    <row r="332" s="78" customFormat="1" ht="15"/>
    <row r="333" s="78" customFormat="1" ht="15"/>
    <row r="334" s="78" customFormat="1" ht="15"/>
    <row r="335" s="78" customFormat="1" ht="15"/>
    <row r="336" s="78" customFormat="1" ht="15"/>
    <row r="337" s="78" customFormat="1" ht="15"/>
    <row r="338" s="78" customFormat="1" ht="15"/>
    <row r="339" s="78" customFormat="1" ht="15"/>
    <row r="340" s="78" customFormat="1" ht="15"/>
    <row r="341" s="78" customFormat="1" ht="15"/>
    <row r="342" s="78" customFormat="1" ht="15"/>
    <row r="343" s="78" customFormat="1" ht="15"/>
    <row r="344" s="78" customFormat="1" ht="15"/>
    <row r="345" s="78" customFormat="1" ht="15"/>
    <row r="346" s="78" customFormat="1" ht="15"/>
    <row r="347" s="78" customFormat="1" ht="15"/>
    <row r="348" s="78" customFormat="1" ht="15"/>
    <row r="349" s="78" customFormat="1" ht="15"/>
    <row r="350" s="78" customFormat="1" ht="15"/>
    <row r="351" s="78" customFormat="1" ht="15"/>
    <row r="352" s="78" customFormat="1" ht="15"/>
    <row r="353" s="78" customFormat="1" ht="15"/>
    <row r="354" s="78" customFormat="1" ht="15"/>
    <row r="355" s="78" customFormat="1" ht="15"/>
    <row r="356" s="78" customFormat="1" ht="15"/>
    <row r="357" s="78" customFormat="1" ht="15"/>
    <row r="358" s="78" customFormat="1" ht="15"/>
    <row r="359" s="78" customFormat="1" ht="15"/>
    <row r="360" s="78" customFormat="1" ht="15"/>
    <row r="361" s="78" customFormat="1" ht="15"/>
    <row r="362" s="78" customFormat="1" ht="15"/>
    <row r="363" s="78" customFormat="1" ht="15"/>
    <row r="364" s="78" customFormat="1" ht="15"/>
    <row r="365" s="78" customFormat="1" ht="15"/>
    <row r="366" s="78" customFormat="1" ht="15"/>
    <row r="367" s="78" customFormat="1" ht="15"/>
    <row r="368" s="78" customFormat="1" ht="15"/>
    <row r="369" s="78" customFormat="1" ht="15"/>
    <row r="370" s="78" customFormat="1" ht="15"/>
    <row r="371" s="78" customFormat="1" ht="15"/>
    <row r="372" s="78" customFormat="1" ht="15"/>
    <row r="373" s="78" customFormat="1" ht="15"/>
    <row r="374" s="78" customFormat="1" ht="15"/>
    <row r="375" s="78" customFormat="1" ht="15"/>
    <row r="376" s="78" customFormat="1" ht="15"/>
    <row r="377" s="78" customFormat="1" ht="15"/>
    <row r="378" s="78" customFormat="1" ht="15"/>
    <row r="379" s="78" customFormat="1" ht="15"/>
    <row r="380" s="78" customFormat="1" ht="15"/>
    <row r="381" s="78" customFormat="1" ht="15"/>
    <row r="382" s="78" customFormat="1" ht="15"/>
    <row r="383" s="78" customFormat="1" ht="15"/>
    <row r="384" s="78" customFormat="1" ht="15"/>
    <row r="385" s="78" customFormat="1" ht="15"/>
    <row r="386" s="78" customFormat="1" ht="15"/>
    <row r="387" s="78" customFormat="1" ht="15"/>
    <row r="388" s="78" customFormat="1" ht="15"/>
    <row r="389" s="78" customFormat="1" ht="15"/>
    <row r="390" s="78" customFormat="1" ht="15"/>
    <row r="391" s="78" customFormat="1" ht="15"/>
    <row r="392" s="78" customFormat="1" ht="15"/>
    <row r="393" s="78" customFormat="1" ht="15"/>
    <row r="394" s="78" customFormat="1" ht="15"/>
    <row r="395" s="78" customFormat="1" ht="15"/>
    <row r="396" s="78" customFormat="1" ht="15"/>
    <row r="397" s="78" customFormat="1" ht="15"/>
    <row r="398" s="78" customFormat="1" ht="15"/>
    <row r="399" s="78" customFormat="1" ht="15"/>
    <row r="400" s="78" customFormat="1" ht="15"/>
    <row r="401" s="78" customFormat="1" ht="15"/>
    <row r="402" s="78" customFormat="1" ht="15"/>
    <row r="403" s="78" customFormat="1" ht="15"/>
    <row r="404" s="78" customFormat="1" ht="15"/>
    <row r="405" s="78" customFormat="1" ht="15"/>
    <row r="406" s="78" customFormat="1" ht="15"/>
    <row r="407" s="78" customFormat="1" ht="15"/>
    <row r="408" s="78" customFormat="1" ht="15"/>
    <row r="409" s="78" customFormat="1" ht="15"/>
    <row r="410" s="78" customFormat="1" ht="15"/>
    <row r="411" s="78" customFormat="1" ht="15"/>
    <row r="412" s="78" customFormat="1" ht="15"/>
    <row r="413" s="78" customFormat="1" ht="15"/>
    <row r="414" s="78" customFormat="1" ht="15"/>
    <row r="415" s="78" customFormat="1" ht="15"/>
    <row r="416" s="78" customFormat="1" ht="15"/>
    <row r="417" s="78" customFormat="1" ht="15"/>
    <row r="418" s="78" customFormat="1" ht="15"/>
    <row r="419" s="78" customFormat="1" ht="15"/>
    <row r="420" s="78" customFormat="1" ht="15"/>
    <row r="421" s="78" customFormat="1" ht="15"/>
    <row r="422" s="78" customFormat="1" ht="15"/>
    <row r="423" s="78" customFormat="1" ht="15"/>
    <row r="424" s="78" customFormat="1" ht="15"/>
    <row r="425" s="78" customFormat="1" ht="15"/>
    <row r="426" s="78" customFormat="1" ht="15"/>
    <row r="427" s="78" customFormat="1" ht="15"/>
    <row r="428" s="78" customFormat="1" ht="15"/>
    <row r="429" s="78" customFormat="1" ht="15"/>
    <row r="430" s="78" customFormat="1" ht="15"/>
    <row r="431" s="78" customFormat="1" ht="15"/>
    <row r="432" s="78" customFormat="1" ht="15"/>
    <row r="433" s="78" customFormat="1" ht="15"/>
    <row r="434" s="78" customFormat="1" ht="15"/>
    <row r="435" s="78" customFormat="1" ht="15"/>
    <row r="436" s="78" customFormat="1" ht="15"/>
    <row r="437" s="78" customFormat="1" ht="15"/>
    <row r="438" s="78" customFormat="1" ht="15"/>
    <row r="439" s="78" customFormat="1" ht="15"/>
    <row r="440" s="78" customFormat="1" ht="15"/>
    <row r="441" s="78" customFormat="1" ht="15"/>
    <row r="442" s="78" customFormat="1" ht="15"/>
    <row r="443" s="78" customFormat="1" ht="15"/>
    <row r="444" s="78" customFormat="1" ht="15"/>
    <row r="445" s="78" customFormat="1" ht="15"/>
    <row r="446" s="78" customFormat="1" ht="15"/>
    <row r="447" s="78" customFormat="1" ht="15"/>
    <row r="448" s="78" customFormat="1" ht="15"/>
    <row r="449" s="78" customFormat="1" ht="15"/>
    <row r="450" s="78" customFormat="1" ht="15"/>
    <row r="451" s="78" customFormat="1" ht="15"/>
    <row r="452" s="78" customFormat="1" ht="15"/>
    <row r="453" s="78" customFormat="1" ht="15"/>
    <row r="454" s="78" customFormat="1" ht="15"/>
    <row r="455" s="78" customFormat="1" ht="15"/>
    <row r="456" s="78" customFormat="1" ht="15"/>
    <row r="457" s="78" customFormat="1" ht="15"/>
    <row r="458" s="78" customFormat="1" ht="15"/>
    <row r="459" s="78" customFormat="1" ht="15"/>
    <row r="460" s="78" customFormat="1" ht="15"/>
    <row r="461" s="78" customFormat="1" ht="15"/>
    <row r="462" s="78" customFormat="1" ht="15"/>
    <row r="463" s="78" customFormat="1" ht="15"/>
    <row r="464" s="78" customFormat="1" ht="15"/>
    <row r="465" s="78" customFormat="1" ht="15"/>
    <row r="466" s="78" customFormat="1" ht="15"/>
    <row r="467" s="78" customFormat="1" ht="15"/>
    <row r="468" s="78" customFormat="1" ht="15"/>
    <row r="469" s="78" customFormat="1" ht="15"/>
    <row r="470" s="78" customFormat="1" ht="15"/>
    <row r="471" s="78" customFormat="1" ht="15"/>
    <row r="472" s="78" customFormat="1" ht="15"/>
    <row r="473" s="78" customFormat="1" ht="15"/>
    <row r="474" s="78" customFormat="1" ht="15"/>
    <row r="475" s="78" customFormat="1" ht="15"/>
    <row r="476" s="78" customFormat="1" ht="15"/>
    <row r="477" s="78" customFormat="1" ht="15"/>
    <row r="478" s="78" customFormat="1" ht="15"/>
    <row r="479" s="78" customFormat="1" ht="15"/>
    <row r="480" s="78" customFormat="1" ht="15"/>
    <row r="481" s="78" customFormat="1" ht="15"/>
    <row r="482" s="78" customFormat="1" ht="15"/>
    <row r="483" s="78" customFormat="1" ht="15"/>
    <row r="484" s="78" customFormat="1" ht="15"/>
    <row r="485" s="78" customFormat="1" ht="15"/>
    <row r="486" s="78" customFormat="1" ht="15"/>
    <row r="487" s="78" customFormat="1" ht="15"/>
    <row r="488" s="78" customFormat="1" ht="15"/>
    <row r="489" s="78" customFormat="1" ht="15"/>
    <row r="490" s="78" customFormat="1" ht="15"/>
    <row r="491" s="78" customFormat="1" ht="15"/>
    <row r="492" s="78" customFormat="1" ht="15"/>
    <row r="493" s="78" customFormat="1" ht="15"/>
    <row r="494" s="78" customFormat="1" ht="15"/>
    <row r="495" s="78" customFormat="1" ht="15"/>
    <row r="496" s="78" customFormat="1" ht="15"/>
    <row r="497" s="78" customFormat="1" ht="15"/>
    <row r="498" s="78" customFormat="1" ht="15"/>
    <row r="499" s="78" customFormat="1" ht="15"/>
    <row r="500" s="78" customFormat="1" ht="15"/>
    <row r="501" s="78" customFormat="1" ht="15"/>
    <row r="502" s="78" customFormat="1" ht="15"/>
    <row r="503" s="78" customFormat="1" ht="15"/>
    <row r="504" s="78" customFormat="1" ht="15"/>
    <row r="505" s="78" customFormat="1" ht="15"/>
    <row r="506" s="78" customFormat="1" ht="15"/>
    <row r="507" s="78" customFormat="1" ht="15"/>
    <row r="508" s="78" customFormat="1" ht="15"/>
    <row r="509" s="78" customFormat="1" ht="15"/>
    <row r="510" s="78" customFormat="1" ht="15"/>
    <row r="511" s="78" customFormat="1" ht="15"/>
    <row r="512" s="78" customFormat="1" ht="15"/>
    <row r="513" s="78" customFormat="1" ht="15"/>
    <row r="514" s="78" customFormat="1" ht="15"/>
    <row r="515" s="78" customFormat="1" ht="15"/>
    <row r="516" s="78" customFormat="1" ht="15"/>
    <row r="517" s="78" customFormat="1" ht="15"/>
    <row r="518" s="78" customFormat="1" ht="15"/>
    <row r="519" s="78" customFormat="1" ht="15"/>
    <row r="520" s="78" customFormat="1" ht="15"/>
    <row r="521" s="78" customFormat="1" ht="15"/>
    <row r="522" s="78" customFormat="1" ht="15"/>
    <row r="523" s="78" customFormat="1" ht="15"/>
    <row r="524" s="78" customFormat="1" ht="15"/>
    <row r="525" s="78" customFormat="1" ht="15"/>
    <row r="526" s="78" customFormat="1" ht="15"/>
    <row r="527" s="78" customFormat="1" ht="15"/>
    <row r="528" s="78" customFormat="1" ht="15"/>
    <row r="529" s="78" customFormat="1" ht="15"/>
    <row r="530" s="78" customFormat="1" ht="15"/>
    <row r="531" s="78" customFormat="1" ht="15"/>
    <row r="532" s="78" customFormat="1" ht="15"/>
    <row r="533" s="78" customFormat="1" ht="15"/>
    <row r="534" s="78" customFormat="1" ht="15"/>
    <row r="535" s="78" customFormat="1" ht="15"/>
    <row r="536" s="78" customFormat="1" ht="15"/>
    <row r="537" s="78" customFormat="1" ht="15"/>
    <row r="538" s="78" customFormat="1" ht="15"/>
    <row r="539" s="78" customFormat="1" ht="15"/>
    <row r="540" s="78" customFormat="1" ht="15"/>
    <row r="541" s="78" customFormat="1" ht="15"/>
    <row r="542" s="78" customFormat="1" ht="15"/>
    <row r="543" s="78" customFormat="1" ht="15"/>
    <row r="544" s="78" customFormat="1" ht="15"/>
    <row r="545" s="78" customFormat="1" ht="15"/>
    <row r="546" s="78" customFormat="1" ht="15"/>
    <row r="547" s="78" customFormat="1" ht="15"/>
    <row r="548" s="78" customFormat="1" ht="15"/>
    <row r="549" s="78" customFormat="1" ht="15"/>
    <row r="550" s="78" customFormat="1" ht="15"/>
    <row r="551" s="78" customFormat="1" ht="15"/>
    <row r="552" s="78" customFormat="1" ht="15"/>
    <row r="553" s="78" customFormat="1" ht="15"/>
    <row r="554" s="78" customFormat="1" ht="15"/>
    <row r="555" s="78" customFormat="1" ht="15"/>
    <row r="556" s="78" customFormat="1" ht="15"/>
    <row r="557" s="78" customFormat="1" ht="15"/>
    <row r="558" s="78" customFormat="1" ht="15"/>
    <row r="559" s="78" customFormat="1" ht="15"/>
    <row r="560" s="78" customFormat="1" ht="15"/>
    <row r="561" s="78" customFormat="1" ht="15"/>
    <row r="562" s="78" customFormat="1" ht="15"/>
    <row r="563" s="78" customFormat="1" ht="15"/>
    <row r="564" s="78" customFormat="1" ht="15"/>
    <row r="565" s="78" customFormat="1" ht="15"/>
    <row r="566" s="78" customFormat="1" ht="15"/>
    <row r="567" s="78" customFormat="1" ht="15"/>
    <row r="568" s="78" customFormat="1" ht="15"/>
    <row r="569" s="78" customFormat="1" ht="15"/>
    <row r="570" s="78" customFormat="1" ht="15"/>
    <row r="571" s="78" customFormat="1" ht="15"/>
    <row r="572" s="78" customFormat="1" ht="15"/>
    <row r="573" s="78" customFormat="1" ht="15"/>
    <row r="574" s="78" customFormat="1" ht="15"/>
    <row r="575" s="78" customFormat="1" ht="15"/>
    <row r="576" s="78" customFormat="1" ht="15"/>
    <row r="577" s="78" customFormat="1" ht="15"/>
    <row r="578" s="78" customFormat="1" ht="15"/>
    <row r="579" s="78" customFormat="1" ht="15"/>
    <row r="580" s="78" customFormat="1" ht="15"/>
    <row r="581" s="78" customFormat="1" ht="15"/>
    <row r="582" s="78" customFormat="1" ht="15"/>
    <row r="583" s="78" customFormat="1" ht="15"/>
    <row r="584" s="78" customFormat="1" ht="15"/>
    <row r="585" s="78" customFormat="1" ht="15"/>
    <row r="586" s="78" customFormat="1" ht="15"/>
    <row r="587" s="78" customFormat="1" ht="15"/>
    <row r="588" s="78" customFormat="1" ht="15"/>
    <row r="589" s="78" customFormat="1" ht="15"/>
    <row r="590" s="78" customFormat="1" ht="15"/>
    <row r="591" s="78" customFormat="1" ht="15"/>
    <row r="592" s="78" customFormat="1" ht="15"/>
    <row r="593" s="78" customFormat="1" ht="15"/>
    <row r="594" s="78" customFormat="1" ht="15"/>
    <row r="595" s="78" customFormat="1" ht="15"/>
    <row r="596" s="78" customFormat="1" ht="15"/>
    <row r="597" s="78" customFormat="1" ht="15"/>
    <row r="598" s="78" customFormat="1" ht="15"/>
    <row r="599" s="78" customFormat="1" ht="15"/>
    <row r="600" s="78" customFormat="1" ht="15"/>
    <row r="601" s="78" customFormat="1" ht="15"/>
    <row r="602" s="78" customFormat="1" ht="15"/>
    <row r="603" s="78" customFormat="1" ht="15"/>
    <row r="604" s="78" customFormat="1" ht="15"/>
    <row r="605" s="78" customFormat="1" ht="15"/>
    <row r="606" s="78" customFormat="1" ht="15"/>
    <row r="607" s="78" customFormat="1" ht="15"/>
    <row r="608" s="78" customFormat="1" ht="15"/>
    <row r="609" s="78" customFormat="1" ht="15"/>
    <row r="610" s="78" customFormat="1" ht="15"/>
    <row r="611" s="78" customFormat="1" ht="15"/>
    <row r="612" s="78" customFormat="1" ht="15"/>
    <row r="613" s="78" customFormat="1" ht="15"/>
    <row r="614" s="78" customFormat="1" ht="15"/>
    <row r="615" s="78" customFormat="1" ht="15"/>
    <row r="616" s="78" customFormat="1" ht="15"/>
    <row r="617" s="78" customFormat="1" ht="15"/>
    <row r="618" s="78" customFormat="1" ht="15"/>
    <row r="619" s="78" customFormat="1" ht="15"/>
    <row r="620" s="78" customFormat="1" ht="15"/>
    <row r="621" s="78" customFormat="1" ht="15"/>
    <row r="622" s="78" customFormat="1" ht="15"/>
    <row r="623" s="78" customFormat="1" ht="15"/>
    <row r="624" s="78" customFormat="1" ht="15"/>
    <row r="625" s="78" customFormat="1" ht="15"/>
    <row r="626" s="78" customFormat="1" ht="15"/>
    <row r="627" s="78" customFormat="1" ht="15"/>
    <row r="628" s="78" customFormat="1" ht="15"/>
    <row r="629" s="78" customFormat="1" ht="15"/>
    <row r="630" s="78" customFormat="1" ht="15"/>
    <row r="631" s="78" customFormat="1" ht="15"/>
    <row r="632" s="78" customFormat="1" ht="15"/>
    <row r="633" s="78" customFormat="1" ht="15"/>
    <row r="634" s="78" customFormat="1" ht="15"/>
    <row r="635" s="78" customFormat="1" ht="15"/>
    <row r="636" s="78" customFormat="1" ht="15"/>
    <row r="637" s="78" customFormat="1" ht="15"/>
    <row r="638" s="78" customFormat="1" ht="15"/>
    <row r="639" s="78" customFormat="1" ht="15"/>
    <row r="640" s="78" customFormat="1" ht="15"/>
    <row r="641" s="78" customFormat="1" ht="15"/>
    <row r="642" s="78" customFormat="1" ht="15"/>
    <row r="643" s="78" customFormat="1" ht="15"/>
    <row r="644" s="78" customFormat="1" ht="15"/>
    <row r="645" s="78" customFormat="1" ht="15"/>
    <row r="646" s="78" customFormat="1" ht="15"/>
    <row r="647" s="78" customFormat="1" ht="15"/>
    <row r="648" s="78" customFormat="1" ht="15"/>
    <row r="649" s="78" customFormat="1" ht="15"/>
    <row r="650" s="78" customFormat="1" ht="15"/>
    <row r="651" s="78" customFormat="1" ht="15"/>
    <row r="652" s="78" customFormat="1" ht="15"/>
    <row r="653" s="78" customFormat="1" ht="15"/>
    <row r="654" s="78" customFormat="1" ht="15"/>
    <row r="655" s="78" customFormat="1" ht="15"/>
    <row r="656" s="78" customFormat="1" ht="15"/>
    <row r="657" s="78" customFormat="1" ht="15"/>
    <row r="658" s="78" customFormat="1" ht="15"/>
    <row r="659" s="78" customFormat="1" ht="15"/>
    <row r="660" s="78" customFormat="1" ht="15"/>
    <row r="661" s="78" customFormat="1" ht="15"/>
    <row r="662" s="78" customFormat="1" ht="15"/>
    <row r="663" s="78" customFormat="1" ht="15"/>
    <row r="664" s="78" customFormat="1" ht="15"/>
    <row r="665" s="78" customFormat="1" ht="15"/>
    <row r="666" s="78" customFormat="1" ht="15"/>
    <row r="667" s="78" customFormat="1" ht="15"/>
    <row r="668" s="78" customFormat="1" ht="15"/>
    <row r="669" s="78" customFormat="1" ht="15"/>
    <row r="670" s="78" customFormat="1" ht="15"/>
    <row r="671" s="78" customFormat="1" ht="15"/>
    <row r="672" s="78" customFormat="1" ht="15"/>
    <row r="673" s="78" customFormat="1" ht="15"/>
    <row r="674" s="78" customFormat="1" ht="15"/>
    <row r="675" s="78" customFormat="1" ht="15"/>
    <row r="676" s="78" customFormat="1" ht="15"/>
    <row r="677" s="78" customFormat="1" ht="15"/>
    <row r="678" s="78" customFormat="1" ht="15"/>
    <row r="679" s="78" customFormat="1" ht="15"/>
    <row r="680" s="78" customFormat="1" ht="15"/>
    <row r="681" s="78" customFormat="1" ht="15"/>
    <row r="682" s="78" customFormat="1" ht="15"/>
    <row r="683" s="78" customFormat="1" ht="15"/>
    <row r="684" s="78" customFormat="1" ht="15"/>
    <row r="685" s="78" customFormat="1" ht="15"/>
    <row r="686" s="78" customFormat="1" ht="15"/>
    <row r="687" s="78" customFormat="1" ht="15"/>
    <row r="688" s="78" customFormat="1" ht="15"/>
    <row r="689" s="78" customFormat="1" ht="15"/>
    <row r="690" s="78" customFormat="1" ht="15"/>
    <row r="691" s="78" customFormat="1" ht="15"/>
    <row r="692" s="78" customFormat="1" ht="15"/>
    <row r="693" s="78" customFormat="1" ht="15"/>
    <row r="694" s="78" customFormat="1" ht="15"/>
    <row r="695" s="78" customFormat="1" ht="15"/>
    <row r="696" s="78" customFormat="1" ht="15"/>
    <row r="697" s="78" customFormat="1" ht="15"/>
    <row r="698" s="78" customFormat="1" ht="15"/>
    <row r="699" s="78" customFormat="1" ht="15"/>
    <row r="700" s="78" customFormat="1" ht="15"/>
    <row r="701" s="78" customFormat="1" ht="15"/>
    <row r="702" s="78" customFormat="1" ht="15"/>
    <row r="703" s="78" customFormat="1" ht="15"/>
    <row r="704" s="78" customFormat="1" ht="15"/>
    <row r="705" s="78" customFormat="1" ht="15"/>
    <row r="706" s="78" customFormat="1" ht="15"/>
    <row r="707" s="78" customFormat="1" ht="15"/>
    <row r="708" s="78" customFormat="1" ht="15"/>
    <row r="709" s="78" customFormat="1" ht="15"/>
    <row r="710" s="78" customFormat="1" ht="15"/>
    <row r="711" s="78" customFormat="1" ht="15"/>
    <row r="712" s="78" customFormat="1" ht="15"/>
    <row r="713" s="78" customFormat="1" ht="15"/>
    <row r="714" s="78" customFormat="1" ht="15"/>
    <row r="715" s="78" customFormat="1" ht="15"/>
    <row r="716" s="78" customFormat="1" ht="15"/>
    <row r="717" s="78" customFormat="1" ht="15"/>
    <row r="718" s="78" customFormat="1" ht="15"/>
    <row r="719" s="78" customFormat="1" ht="15"/>
    <row r="720" s="78" customFormat="1" ht="15"/>
    <row r="721" s="78" customFormat="1" ht="15"/>
    <row r="722" s="78" customFormat="1" ht="15"/>
    <row r="723" s="78" customFormat="1" ht="15"/>
    <row r="724" s="78" customFormat="1" ht="15"/>
    <row r="725" s="78" customFormat="1" ht="15"/>
    <row r="726" s="78" customFormat="1" ht="15"/>
    <row r="727" s="78" customFormat="1" ht="15"/>
    <row r="728" s="78" customFormat="1" ht="15"/>
    <row r="729" s="78" customFormat="1" ht="15"/>
    <row r="730" s="78" customFormat="1" ht="15"/>
    <row r="731" s="78" customFormat="1" ht="15"/>
    <row r="732" s="78" customFormat="1" ht="15"/>
    <row r="733" s="78" customFormat="1" ht="15"/>
    <row r="734" s="78" customFormat="1" ht="15"/>
    <row r="735" s="78" customFormat="1" ht="15"/>
    <row r="736" s="78" customFormat="1" ht="15"/>
    <row r="737" s="78" customFormat="1" ht="15"/>
    <row r="738" s="78" customFormat="1" ht="15"/>
    <row r="739" s="78" customFormat="1" ht="15"/>
    <row r="740" s="78" customFormat="1" ht="15"/>
    <row r="741" s="78" customFormat="1" ht="15"/>
    <row r="742" s="78" customFormat="1" ht="15"/>
    <row r="743" s="78" customFormat="1" ht="15"/>
  </sheetData>
  <printOptions horizontalCentered="1"/>
  <pageMargins left="0.5" right="0" top="0.6" bottom="0.25" header="0" footer="0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2002-04-04T14:46:18Z</cp:lastPrinted>
  <dcterms:created xsi:type="dcterms:W3CDTF">1998-12-22T15:47:59Z</dcterms:created>
  <dcterms:modified xsi:type="dcterms:W3CDTF">2002-07-22T15:25:14Z</dcterms:modified>
  <cp:category/>
  <cp:version/>
  <cp:contentType/>
  <cp:contentStatus/>
</cp:coreProperties>
</file>