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  <sheet name="GAS ASCII" sheetId="7" r:id="rId7"/>
  </sheets>
  <definedNames>
    <definedName name="_Key1" hidden="1">'Marketable'!#REF!</definedName>
    <definedName name="_Order1" localSheetId="3" hidden="1">255</definedName>
    <definedName name="_Order1" localSheetId="6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'TableIV'!$1:$12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'GAS ASCII'!$B:$E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'GAS'!$A$1:$M$285</definedName>
    <definedName name="_xlnm.Print_Area" localSheetId="6">'GAS ASCII'!$A$1:$E$163</definedName>
    <definedName name="_xlnm.Print_Area" localSheetId="1">'Marketable'!$A$1:$P$341</definedName>
    <definedName name="_xlnm.Print_Area" localSheetId="2">'Nonmarketable'!$A$1:$P$79</definedName>
    <definedName name="_xlnm.Print_Area" localSheetId="4">'TableIV'!$A$1:$J$180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'TableIV'!$1:$12</definedName>
    <definedName name="TOTALROW1">#REF!</definedName>
    <definedName name="TOTALROW3">#REF!</definedName>
    <definedName name="TOTALS_GDEBT">'TableIV'!$K$6:$K$11</definedName>
    <definedName name="TOTALS_MSPD2">'GAS'!$H$71:$I$272</definedName>
    <definedName name="TOTALS_MSPD2A">'GAS'!$I$253:$L$272</definedName>
    <definedName name="TOTALS_PAGE2">'Marketable'!$K$8:$P$194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'GAS'!$A$1:$M$272</definedName>
    <definedName name="Z_299E6BA2_5C55_11D3_95FC_00C04F98DD55_.wvu.PrintArea" localSheetId="6" hidden="1">'Footnotes'!$A$1:$M$70</definedName>
    <definedName name="Z_299E6BA2_5C55_11D3_95FC_00C04F98DD55_.wvu.PrintArea" localSheetId="1" hidden="1">'Marketable'!$A$1:$P$341</definedName>
    <definedName name="Z_299E6BA2_5C55_11D3_95FC_00C04F98DD55_.wvu.PrintArea" localSheetId="4" hidden="1">'TableIV'!$A$1:$J$181</definedName>
    <definedName name="Z_299E6BA2_5C55_11D3_95FC_00C04F98DD55_.wvu.Rows" localSheetId="3" hidden="1">'GAS'!#REF!</definedName>
    <definedName name="Z_299E6BA2_5C55_11D3_95FC_00C04F98DD55_.wvu.Rows" localSheetId="1" hidden="1">'Marketable'!$178:$178</definedName>
    <definedName name="Z_F8F97401_998A_11D2_AE2A_00C04F98DCD3_.wvu.PrintArea" hidden="1">'TableIV'!$A$1:$J$177</definedName>
    <definedName name="Z_FDA6B625_998F_11D2_AE2A_00C04F98DCD3_.wvu.PrintArea" hidden="1">'TableIV'!$A$1:$J$177</definedName>
  </definedNames>
  <calcPr fullCalcOnLoad="1"/>
</workbook>
</file>

<file path=xl/sharedStrings.xml><?xml version="1.0" encoding="utf-8"?>
<sst xmlns="http://schemas.openxmlformats.org/spreadsheetml/2006/main" count="2346" uniqueCount="1214">
  <si>
    <t>Trust Fund, The Barry Goldwater Scholarship and Excellence in Education Fund......................................................................................................................................................</t>
  </si>
  <si>
    <t>Marketable, Continued: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</si>
  <si>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</si>
  <si>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</si>
  <si>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</si>
  <si>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</si>
  <si>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These securities are exempt from all taxation now or hereafter imposed on the principal by any state or any possession of the United States or of any</t>
  </si>
  <si>
    <t>local taxing authority.</t>
  </si>
  <si>
    <t>Published on the fourth business day of each month.</t>
  </si>
  <si>
    <t>For sale by the Superintendent of Documents, U.S. Government Printing Office, Washington, D.C.  20402  (202) 512-1800.</t>
  </si>
  <si>
    <t>National Gift Fund, National Archives and Records Administration...............................................................…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</si>
  <si>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</si>
  <si>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</si>
  <si>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</si>
  <si>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</si>
  <si>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</si>
  <si>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</si>
  <si>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CF8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</si>
  <si>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</si>
  <si>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</si>
  <si>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</si>
  <si>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EK9</t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</si>
  <si>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</si>
  <si>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</si>
  <si>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.</t>
  </si>
  <si>
    <t>Marketable, Treasury Bonds:</t>
  </si>
  <si>
    <t>Preservation, Birthplace of Abraham Lincoln, National Park Service......................................................................................…</t>
  </si>
  <si>
    <t xml:space="preserve">Funds Held by the 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</si>
  <si>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CUSTODIAL TRIBAL FUND, OFFICE OF THE SPECIAL TRUSTEE FOR AMERICAN INDIANS</t>
  </si>
  <si>
    <t>14X6803</t>
  </si>
  <si>
    <t>DEPOSITS OF PROCEEDS OF LANDS WITHDRAWN FOR NATIVE SELECTION, BUREAU OF INDIAN AFFAIRS</t>
  </si>
  <si>
    <t>14X6140</t>
  </si>
  <si>
    <t>ESCROW ACCOUNT, NATIONAL LABOR RELATIONS BOARD</t>
  </si>
  <si>
    <t>63X6154</t>
  </si>
  <si>
    <t>FEDERAL SHIP FINANCING ESCROW FUND, MARITIME ADMINISTRATION</t>
  </si>
  <si>
    <t>69X6012</t>
  </si>
  <si>
    <t>GIFTS, CENTRAL INTELLIGENCE AGENCY</t>
  </si>
  <si>
    <t>56X6146</t>
  </si>
  <si>
    <t>INDIVIDUAL INDIAN MONEY, BUREAU OF INDIAN AFFAIRS</t>
  </si>
  <si>
    <t>14X6039</t>
  </si>
  <si>
    <t>KUUKPIK ALASKA ESCROW FUND</t>
  </si>
  <si>
    <t>14X6029</t>
  </si>
  <si>
    <t>MARITIME GUARANTEED LOAN ESCROW FUND</t>
  </si>
  <si>
    <t>69X6040</t>
  </si>
  <si>
    <t>PAYMENTS OF ALLEGED VIOLATORS OF DEPARTMENT OF ENERGY REGULATIONS, DEPARTMENT OF ENERGY</t>
  </si>
  <si>
    <t>89X6425</t>
  </si>
  <si>
    <t>SEIZED ASSETS FUND, JUSTICE</t>
  </si>
  <si>
    <t>15X6874</t>
  </si>
  <si>
    <t>SMITHSONIAN ENDOWMENT FUND, SMITHSONIAN INSTITUTION</t>
  </si>
  <si>
    <t>33X62201</t>
  </si>
  <si>
    <t>SPECIAL INVESTMENT ACCOUNT</t>
  </si>
  <si>
    <t>95X6167</t>
  </si>
  <si>
    <t>THRIFT SAVINGS FUND, FEDERAL RETIREMENT THRIFT INVESTMENT BOARD</t>
  </si>
  <si>
    <t>26X6153</t>
  </si>
  <si>
    <t>TREASURY DEPOSIT FUNDS</t>
  </si>
  <si>
    <t>20X6420</t>
  </si>
  <si>
    <t>UNEARNED COPYRIGHT FEES, LIBRARY OF CONGRESS</t>
  </si>
  <si>
    <t>03X6206</t>
  </si>
  <si>
    <t>WAGE AND HOUR AND PUBLIC CONTRACTS RESTITUTION FUND, LABOR</t>
  </si>
  <si>
    <t>16X6507</t>
  </si>
  <si>
    <t xml:space="preserve">Funds held by the Government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</si>
  <si>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ABANDONED MINES RECLAMATION FUND, OFFICE OF SURFACE MINING RECLAMATION AND ENFORCEMENT</t>
  </si>
  <si>
    <t>14X5015</t>
  </si>
  <si>
    <t>AIRPORT AND AIRWAY TRUST FUND</t>
  </si>
  <si>
    <t>20X8103</t>
  </si>
  <si>
    <t>ALBANIAN CLAIMS FUND, TREASURY DEPARTMENT</t>
  </si>
  <si>
    <t>20X6104</t>
  </si>
  <si>
    <t>AQUATIC RESOURCES TRUST FUND</t>
  </si>
  <si>
    <t>20X81472</t>
  </si>
  <si>
    <t>ARMED FORCES RETIREMENT HOME TRUST FUND</t>
  </si>
  <si>
    <t>84X8522</t>
  </si>
  <si>
    <t>ASSESSMENT FUNDS, OFFICE OF THE COMPTROLLER OF THE CURRENCY</t>
  </si>
  <si>
    <t>20X8413</t>
  </si>
  <si>
    <t>ASSETS FORFEITRUE FUND, JUSTICE</t>
  </si>
  <si>
    <t>15X5042</t>
  </si>
  <si>
    <t>AVIATION INSURANCE REVOLVING FUND</t>
  </si>
  <si>
    <t>69X41201</t>
  </si>
  <si>
    <t>BANK INSURANCE FUND, THE</t>
  </si>
  <si>
    <t>51X4064</t>
  </si>
  <si>
    <t>BELIZE ESCROW, DEBT REDUCTION, TREASURY</t>
  </si>
  <si>
    <t>20X6317</t>
  </si>
  <si>
    <t>BEQUESTS AND GIFTS, DISASTER RELIEF, FUNDS APPROPRIATED TO THE PRESIDENT</t>
  </si>
  <si>
    <t>70X8244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</si>
  <si>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</si>
  <si>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</si>
  <si>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 xml:space="preserve">  912828  AS9</t>
  </si>
  <si>
    <t>DC FEDERAL PENSION LIABILITY TRUST FUND</t>
  </si>
  <si>
    <t>20X8230</t>
  </si>
  <si>
    <t>EISENHOWER EXCHANGE FELLOWSHIP PROGRAM TRUST FUND</t>
  </si>
  <si>
    <t>95X8276</t>
  </si>
  <si>
    <t>EMPLOYEES' HEALTH BENEFITS FUND, OFFICE OF PERSONNEL MANAGEMENT</t>
  </si>
  <si>
    <t>24X8440</t>
  </si>
  <si>
    <t>EMPLOYEES' LIFE INSURANCE FUND, OFFICE OF PERSONNEL MANAGEMENT</t>
  </si>
  <si>
    <t>24X8424</t>
  </si>
  <si>
    <t>ENDEAVOR TEACHER FELLOWSHIP TRUST FUND</t>
  </si>
  <si>
    <t>80X8550</t>
  </si>
  <si>
    <t>ENERGY EMPLOYEES OCCUPATIONAL ILLNESS COMPENSATION FUND</t>
  </si>
  <si>
    <t>16X1523</t>
  </si>
  <si>
    <t>ENVIRONMENTAL IMPROVEMENT AND RESTORATION FUND</t>
  </si>
  <si>
    <t>14X5425</t>
  </si>
  <si>
    <t>ESTHER CATTELL SCHMITT GIFT FUND, TREASURY</t>
  </si>
  <si>
    <t>20X8902</t>
  </si>
  <si>
    <t>EXCHANGE STABILIZATION FUND, OFFICE OF THE SECRETARY, TREASURY</t>
  </si>
  <si>
    <t>20X44441</t>
  </si>
  <si>
    <t>EXPENSES, PRESIDIO TRUST</t>
  </si>
  <si>
    <t>95X4331</t>
  </si>
  <si>
    <t>EXPENSES AND REFUNDS, INSPECTION AND GRADING OF FARM PRODUCTS, AGRICULTURAL MARKETING SERVICE</t>
  </si>
  <si>
    <t>12X8015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</si>
  <si>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</si>
  <si>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</si>
  <si>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</si>
  <si>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GIFTS AND DONATIONS, NATIONAL ENDOWMENT FOR THE HUMANITIES</t>
  </si>
  <si>
    <t>59X8050</t>
  </si>
  <si>
    <t>GIFTS AND DONATIONS, NATIONAL ENDOWMENT OF THE ARTS</t>
  </si>
  <si>
    <t>59X8040</t>
  </si>
  <si>
    <t>GUARANTEES OF MORTGAGE-BACKED SECURITIES FUND, GOVERNMENT NATIONAL MORTGAGE ASSOCIATION, HOUSING AND URBAN</t>
  </si>
  <si>
    <t>86X4238</t>
  </si>
  <si>
    <t>HARBOR MAINTENANCE TRUST FUND</t>
  </si>
  <si>
    <t>20X8863</t>
  </si>
  <si>
    <t>HARRY S. TRUMAN MEMORIAL SCHOLARSHIP TRUST FUND, HARRY S. TRUMAN SCHOLARSHIP FOUNDATION</t>
  </si>
  <si>
    <t>95X8296</t>
  </si>
  <si>
    <t>HAZARDOUS SUBSTANCE SUPERFUND</t>
  </si>
  <si>
    <t>20X8145</t>
  </si>
  <si>
    <t>HIGHWAY TRUST FUND</t>
  </si>
  <si>
    <t>20X81022</t>
  </si>
  <si>
    <t>INLAND WATERWAYS TRUST FUND</t>
  </si>
  <si>
    <t>20X8861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</si>
  <si>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</si>
  <si>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</si>
  <si>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AM2</t>
  </si>
  <si>
    <t>HJ9</t>
  </si>
  <si>
    <t>Vaccine Injury Compensation Trust Fund....................................................................................................................</t>
  </si>
  <si>
    <t>Total Inflation-Indexed Notes.................................................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</si>
  <si>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</si>
  <si>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</si>
  <si>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Treasury Bills...............................................................................…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</si>
  <si>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</si>
  <si>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</si>
  <si>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</si>
  <si>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</si>
  <si>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INSPECTION AND GRADING OF FISHERY PRODUCTS, DEPARTMENT OF COMMERCE</t>
  </si>
  <si>
    <t>13X6541</t>
  </si>
  <si>
    <t>FISHERMEN'S CONTINGENCY FUND, NATIONAL OCEANIC AND ATMOSPHERIC ADMINISTRATION</t>
  </si>
  <si>
    <t>13X5120</t>
  </si>
  <si>
    <t>FOREIGN FISHING OBSERVER FUND, NATIONAL OCEANIC AND ATMOSPHERIC ADMINISTRATION</t>
  </si>
  <si>
    <t>13X5122</t>
  </si>
  <si>
    <t>REREGISTRATION AND EXPEDITED PROCESSING FUND, ENVIRONMENTAL PROTECTION AGE</t>
  </si>
  <si>
    <t>68X4310</t>
  </si>
  <si>
    <t>Fishermen's Contingency Fund, National Oceanic and Atmospheric Administration................................................................................................…</t>
  </si>
  <si>
    <t>Foreign Fishing Observer Fund, National Oceanic and Atmospheric Administration................................................................................................…</t>
  </si>
  <si>
    <t>Reregistration and Expedited Processing Fund, Environmental Protection Age...............................................................................................................................................................................................................……….</t>
  </si>
  <si>
    <r>
      <t xml:space="preserve">Matured Government Account Series - Held by Public 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 ......................................................................................................................................</t>
    </r>
  </si>
  <si>
    <t>Total Government Account Series - Held by Public.......................................................................................................................................................................................</t>
  </si>
  <si>
    <r>
      <t xml:space="preserve">Matured Government Account Series - Intragovernmental Holdings 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 xml:space="preserve"> ......................................................................................................................................</t>
    </r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</si>
  <si>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</si>
  <si>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</si>
  <si>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</si>
  <si>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The minimum holding period has been extended from 6 to 12 months, effective with issues dated on and after February 1, 2003.  Series EE and I Savings Bonds</t>
  </si>
  <si>
    <t>bearing issue dates prior to February 2003 retain the 6 month minimum holding period from the date of issue at which time they may be redeemed at the</t>
  </si>
  <si>
    <t xml:space="preserve">option of the owner. </t>
  </si>
  <si>
    <t>Treasury Deposit Funds.................................................................................................................................................................…</t>
  </si>
  <si>
    <t xml:space="preserve"> AB6</t>
  </si>
  <si>
    <t>10/31-04/30</t>
  </si>
  <si>
    <t>09/30-03/31</t>
  </si>
  <si>
    <t>Unearned Copyright Fees, Library Of Congress.................................................................................................................................................................…</t>
  </si>
  <si>
    <t>BM1</t>
  </si>
  <si>
    <t>PT2</t>
  </si>
  <si>
    <t>PS4</t>
  </si>
  <si>
    <t>Wage and Hour and Public Contracts Restitution Fund, Labor...............................................................................…</t>
  </si>
  <si>
    <t xml:space="preserve">    and Enforcement.................................................................................................................................................................…</t>
  </si>
  <si>
    <t xml:space="preserve">    General Hospital.................................................................................................................................................................…</t>
  </si>
  <si>
    <t>Panama Canal Commission Dissolution Fund......................................................................................................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</si>
  <si>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</si>
  <si>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</si>
  <si>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</si>
  <si>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BE9</t>
  </si>
  <si>
    <t>JB4</t>
  </si>
  <si>
    <t>PR6</t>
  </si>
  <si>
    <t xml:space="preserve"> DB1</t>
  </si>
  <si>
    <t xml:space="preserve"> DF2</t>
  </si>
  <si>
    <t xml:space="preserve"> DJ4</t>
  </si>
  <si>
    <t xml:space="preserve"> DL9</t>
  </si>
  <si>
    <t xml:space="preserve"> DN5</t>
  </si>
  <si>
    <t>912828  AH3</t>
  </si>
  <si>
    <t>National Flood Insurance Fund, Federal Emergency Management Agency............................................................................................................................................…</t>
  </si>
  <si>
    <t>FHA - Liquidating Account, Housing and Urban Development.......................................................................................................................................................…</t>
  </si>
  <si>
    <t xml:space="preserve"> DP0</t>
  </si>
  <si>
    <t>DS4</t>
  </si>
  <si>
    <t>DT2</t>
  </si>
  <si>
    <t>DV7</t>
  </si>
  <si>
    <t>DW5</t>
  </si>
  <si>
    <t xml:space="preserve"> DX3</t>
  </si>
  <si>
    <t>DY1</t>
  </si>
  <si>
    <t>DZ8</t>
  </si>
  <si>
    <t xml:space="preserve"> EA2</t>
  </si>
  <si>
    <t>EB0</t>
  </si>
  <si>
    <t>EC8</t>
  </si>
  <si>
    <t>ED6</t>
  </si>
  <si>
    <t>EE4</t>
  </si>
  <si>
    <t>EF1</t>
  </si>
  <si>
    <t>EG9</t>
  </si>
  <si>
    <t>EH7</t>
  </si>
  <si>
    <t xml:space="preserve"> EJ3</t>
  </si>
  <si>
    <t>EK0</t>
  </si>
  <si>
    <t>EL8</t>
  </si>
  <si>
    <t>EM6</t>
  </si>
  <si>
    <t>EN4</t>
  </si>
  <si>
    <t xml:space="preserve"> EP9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</si>
  <si>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</si>
  <si>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</si>
  <si>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</si>
  <si>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</si>
  <si>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</si>
  <si>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</si>
  <si>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</si>
  <si>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</si>
  <si>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</si>
  <si>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</si>
  <si>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</si>
  <si>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</si>
  <si>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</si>
  <si>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</si>
  <si>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</si>
  <si>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4Y5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</si>
  <si>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</si>
  <si>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</si>
  <si>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FT9</t>
  </si>
  <si>
    <t>District of Columbia Judges Retirement Fund.............................................................................................................................................</t>
  </si>
  <si>
    <t>Eisenhower Exchange Fellowship Program Trust Fund........................................................................................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</si>
  <si>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</si>
  <si>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912827  R87</t>
  </si>
  <si>
    <t>912828  AK6</t>
  </si>
  <si>
    <t>2-1/8</t>
  </si>
  <si>
    <t>HG5</t>
  </si>
  <si>
    <t>AL4</t>
  </si>
  <si>
    <t>1-7/8</t>
  </si>
  <si>
    <t>HH3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</si>
  <si>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</si>
  <si>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</si>
  <si>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</si>
  <si>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Employees' Life Insurance Fund, Office of Personnel Management.....................................................................</t>
  </si>
  <si>
    <t>Esther Cattell Schmitt Gift Fund, Treasury.......................................................................................................................................</t>
  </si>
  <si>
    <t>irretrievably lost.</t>
  </si>
  <si>
    <t>PW5</t>
  </si>
  <si>
    <t>Excludes $29 million National Bank Notes issued prior to July 1, 1929, and $2 million Federal Reserve Bank Notes issued prior to July 1, 1929, determined</t>
  </si>
  <si>
    <t>pursuant to Act of June 30, 1961, 31 U.S.C. 5119 to have been destroyed or irretrievably lost.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</si>
  <si>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</si>
  <si>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</si>
  <si>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</si>
  <si>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 xml:space="preserve">  FF0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</si>
  <si>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</si>
  <si>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</si>
  <si>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</si>
  <si>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</si>
  <si>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</si>
  <si>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</si>
  <si>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</si>
  <si>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</si>
  <si>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</si>
  <si>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Government Account Series - Intragovernmental Holdings:</t>
  </si>
  <si>
    <t>Other Debt:</t>
  </si>
  <si>
    <t>Government Account Series - Intragovernmental Holdings--Continued:</t>
  </si>
  <si>
    <t>Retired Employees Health Benefits Fund,</t>
  </si>
  <si>
    <t>b</t>
  </si>
  <si>
    <t>Issued pursuant to Sec. 832(e), Internal Revenue Code of 1954.</t>
  </si>
  <si>
    <t>TAX STATUS:</t>
  </si>
  <si>
    <t>c</t>
  </si>
  <si>
    <t>The difference between the price paid for a Treasury Bill and the amount received at redemption upon maturity is treated as ordinary income.  If the bill is</t>
  </si>
  <si>
    <t xml:space="preserve">  EZ7</t>
  </si>
  <si>
    <t>sold before maturity, part of the difference between the holder's basis (cost) and the gain realized may be treated as capital gain and part may be treated</t>
  </si>
  <si>
    <t>as ordinary income.  Under Section 1281 of the Internal Revenue Code, some holder of Treasury Bills are required to include currently in income a portion</t>
  </si>
  <si>
    <t>of the discount accruing in the taxable year.</t>
  </si>
  <si>
    <t>4</t>
  </si>
  <si>
    <t>The subscription price is $44.00 per year (domestic), $61.60 per year (foreign).  No single copies are sold.</t>
  </si>
  <si>
    <t>Oil Spill Liability Trust Fund.............................................................................................................................................</t>
  </si>
  <si>
    <t>John C. Stennis Center for Public Service Training and Development.................................................................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</si>
  <si>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</si>
  <si>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</si>
  <si>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</si>
  <si>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</si>
  <si>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</si>
  <si>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BR0</t>
  </si>
  <si>
    <t>JL2</t>
  </si>
  <si>
    <t>912828  BP4</t>
  </si>
  <si>
    <t>912827  2J0</t>
  </si>
  <si>
    <t>912828  BQ2</t>
  </si>
  <si>
    <t>JM0</t>
  </si>
  <si>
    <t>912827  5G3</t>
  </si>
  <si>
    <t>JN8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</si>
  <si>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</si>
  <si>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</si>
  <si>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Nonmarketable.......................................................................................................................................................................................................</t>
  </si>
  <si>
    <t>Total Treasury Notes................................................................</t>
  </si>
  <si>
    <t>Total Treasury Bonds....................................................................</t>
  </si>
  <si>
    <t>Includes $30,776 million of 3% Treasury Notes Series J and $1,723 million of Government Account Series which matured Saturday, January 31, 2004.</t>
  </si>
  <si>
    <t>Settlement will be Monday, February 2, 2004.</t>
  </si>
  <si>
    <t>Total Marketable consists of short-term debt (1 year and less) of $907,871 million, long-term debt (greater than 1 year) of $2,643,019 million and</t>
  </si>
  <si>
    <t>matured debt of $30,899 million.</t>
  </si>
  <si>
    <t>Total Nonmarketable consists of short-term debt (1 year and less) of $338,507 million, long-term debt (greater than 1 year) of $3,057,042 million and</t>
  </si>
  <si>
    <t>matured debt of $13,084 million.</t>
  </si>
  <si>
    <t>December 2003</t>
  </si>
  <si>
    <t>NATIVE AMERICAN INSTITUTIONS ENDOWMENT FUND</t>
  </si>
  <si>
    <t>12X5205</t>
  </si>
  <si>
    <t>NATURAL RESOURCE DAMAGE ASSESSMENT AND RESTORATION FUND, U.S. FISH AND WILDLIFE SERVICE, INTERIOR</t>
  </si>
  <si>
    <t>14X5198</t>
  </si>
  <si>
    <t>NUCLEAR WASTE DISPOSAL FUND, DEPARTMENT OF ENERGY</t>
  </si>
  <si>
    <t>89X5227</t>
  </si>
  <si>
    <t>OIL SPILL LIABILITY TRUST FUND</t>
  </si>
  <si>
    <t>20X8185</t>
  </si>
  <si>
    <t>OLIVER WENDELL HOMES DEVISE FUND, LIBRARY OF CONGRESS</t>
  </si>
  <si>
    <t>03X5075</t>
  </si>
  <si>
    <t>OPERATING FUND, NATIONAL CREDIT UNION ADMINISTRATION</t>
  </si>
  <si>
    <t>25X4056</t>
  </si>
  <si>
    <t>OPERATION AND MAINTENANCE, INDIAN IRRIGATION SYSTEMS, BUREAU OF INDIAN AFFAIRS</t>
  </si>
  <si>
    <t>14X5240</t>
  </si>
  <si>
    <t>OVERSEAS PRIVATE INVESTMENT CORPORATION, INSURANCE AND EQUITY NON CREDIT ACCOUNT</t>
  </si>
  <si>
    <t>71X4184</t>
  </si>
  <si>
    <t>PANAMA CANAL COMMISSION COMPENSATION FUND</t>
  </si>
  <si>
    <t>16X5155</t>
  </si>
  <si>
    <t>PANAMA CANAL COMMISSION DISSOLUTION FUND</t>
  </si>
  <si>
    <t>95X4073</t>
  </si>
  <si>
    <t>PATIENTS BENEFIT FUND, NATIONAL INSTITUTES OF HEALTH</t>
  </si>
  <si>
    <t>75X8888</t>
  </si>
  <si>
    <t>PAYMENTS TO COPYRIGHT OWNERS, COPYRIGHT OFFICE, LIBRARY OF CONGRESS</t>
  </si>
  <si>
    <t>03X5175</t>
  </si>
  <si>
    <t>PENSION BENEFIT GUARANTY CORPORATION</t>
  </si>
  <si>
    <t>16X4204</t>
  </si>
  <si>
    <t>PERISHABLE AGRICULTURAL COMMODITIES ACT, AGRICULTURAL MARKETING SERVICE</t>
  </si>
  <si>
    <t>12X5070</t>
  </si>
  <si>
    <t>POSTAL SERVICE FUND</t>
  </si>
  <si>
    <t>18X4020</t>
  </si>
  <si>
    <t>POWER SYSTEMS, INDIAN IRRIGATION PROJECTS, BUREAU OF INDIAN AFFAIRS</t>
  </si>
  <si>
    <t>14X5648</t>
  </si>
  <si>
    <t>PRESERVATION, BIRTHPLACE OF ABRAHAM LINCOLN, NATIONAL PARK SERVICE</t>
  </si>
  <si>
    <t>14X8052</t>
  </si>
  <si>
    <t>PRISON INDUSTRIES FUND, DEPARTMENT OF JUSTICE</t>
  </si>
  <si>
    <t>15X4500</t>
  </si>
  <si>
    <t>PUBLIC ENTERPRISE REVOLVING FUND, OFFICE OF THRIFT SUPERVISION, TREASURY</t>
  </si>
  <si>
    <t>20X4108</t>
  </si>
  <si>
    <t>PUBLIC HEALTH SERVICE CONDITIONAL GIFT FUND, HEALTH RESOURCES AND SERVICES ADMINISTRATION</t>
  </si>
  <si>
    <t>75X8254</t>
  </si>
  <si>
    <t>RAILROAD RETIREMENT ACCOUNT</t>
  </si>
  <si>
    <t>60X8011</t>
  </si>
  <si>
    <t>RELIEF AND REHABILITATION, LONGSHOREMEN'S AND HARBOR WORKERS' COMPENSATION ACT, AS AMENDED, DEPARTMENT OF L</t>
  </si>
  <si>
    <t>16X8130</t>
  </si>
  <si>
    <t>RELIEF AND REHABILITIATION, WORKMEN'S COMPENSATION ACT, WITHIN THE DISTRICT OF COLUMBIA, DEPARTMENT OF LABO</t>
  </si>
  <si>
    <t>16X8134</t>
  </si>
  <si>
    <t>RETIRED EMPLOYEES' HEALTH BENEFITS FUND, OFFICE OF PERSONNEL MANAGEMENT</t>
  </si>
  <si>
    <t>24X8445</t>
  </si>
  <si>
    <t>REVOLVING FUND FOR ADMINISTRATIVE EXPENSE, FARM CREDIT ADMINISTRATION</t>
  </si>
  <si>
    <t>78X4131</t>
  </si>
  <si>
    <t>OPEN WORLD LEADERSHIP CENTER TRUST FUND</t>
  </si>
  <si>
    <t>09X8148</t>
  </si>
  <si>
    <t>Aquatic Resources Trust Fund.....................................................................................................................................</t>
  </si>
  <si>
    <t>The data reported represents a one or two month lag behind the date of the Monthly Statement of the Public Debt.</t>
  </si>
  <si>
    <t>(Millions of dollars)</t>
  </si>
  <si>
    <t>Amount Outstanding in Thousands</t>
  </si>
  <si>
    <t>7F3</t>
  </si>
  <si>
    <t>GQ4</t>
  </si>
  <si>
    <t>Various</t>
  </si>
  <si>
    <t>GA9</t>
  </si>
  <si>
    <t xml:space="preserve">*  </t>
  </si>
  <si>
    <t>Capitol Preservation Fund, U.S. Capitol Preservation Commission.....................................................................</t>
  </si>
  <si>
    <t>Christopher Columbus Scholarship Fund, Christopher Columbus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</si>
  <si>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</si>
  <si>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</si>
  <si>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securities through custodians other than Treasury for which data is not available.</t>
  </si>
  <si>
    <t>SOUTHERN NEVADA PUBLIC LAND MANAGEMENT ACT OF 1998</t>
  </si>
  <si>
    <t>14X5232</t>
  </si>
  <si>
    <t>TAX COURT JUDGES SURVIVORS ANNUITY FUND</t>
  </si>
  <si>
    <t>23X8115</t>
  </si>
  <si>
    <t>TREASURY FORFEITURE FUND</t>
  </si>
  <si>
    <t>20X5697</t>
  </si>
  <si>
    <t>TRIBAL SPECIAL FUND, OFFICE OF THE SPECIAL TRUSTEE FOR AMERICAN INDIANS</t>
  </si>
  <si>
    <t>14X5265</t>
  </si>
  <si>
    <t>TRIBAL TRUST FUND, OFFICE OF THE SPECIAL TRUSTEE FOR AMERICAN INDIANS</t>
  </si>
  <si>
    <t>14X8030</t>
  </si>
  <si>
    <t>TRUST FUND, THE BARRY GOLDWATER SCHOLARSHIP AND EXCELLENCE IN EDUCATION FUND</t>
  </si>
  <si>
    <t>95X8281</t>
  </si>
  <si>
    <t>UNEMPLOYMENT TRUST FUND</t>
  </si>
  <si>
    <t>20X8042</t>
  </si>
  <si>
    <t>UNITED STATES ENRICHMENT CORPORATION FUND</t>
  </si>
  <si>
    <t>95X4054</t>
  </si>
  <si>
    <t>UNITED STATES GOVERNMENT LIFE INSURANCE FUND, DEPARTMENT OF VETERANS AFFAIRS</t>
  </si>
  <si>
    <t>36X8150</t>
  </si>
  <si>
    <t>UNITED STATES NAVAL ACADEMY GENERAL GIFT FUND</t>
  </si>
  <si>
    <t>17X8733</t>
  </si>
  <si>
    <t>UNITED STATES TRUSTEE SYSTEM FUND, JUSTICE</t>
  </si>
  <si>
    <t>15X5073</t>
  </si>
  <si>
    <t>URANIUM ENRICHMENT AND DECOMMISSIONING FUND, DEPARTMENT OF ENERGY</t>
  </si>
  <si>
    <t>89X5231</t>
  </si>
  <si>
    <t>UTAH RECLAMATION MITIGATION AND CONSERVATION ACCOUNT, INTERIOR</t>
  </si>
  <si>
    <t>14X5174</t>
  </si>
  <si>
    <t>VACCINE INJURY COMPENSATION TRUST FUND</t>
  </si>
  <si>
    <t>20X8175</t>
  </si>
  <si>
    <t>VETERANS REOPENED INSURANCE FUND</t>
  </si>
  <si>
    <t>36X4010</t>
  </si>
  <si>
    <t>VETERANS SPECIAL LIFE INSURANCE FUND, TRUST REVOLVING FUND, DEPARTMENT OF VETERANS AFFAIRS</t>
  </si>
  <si>
    <t>36X8455</t>
  </si>
  <si>
    <t>VIETNAM CLAIMS FUND, FINANCIAL MANAEMENT SERVICE</t>
  </si>
  <si>
    <t>20X6315</t>
  </si>
  <si>
    <t>VOLUNTARY SEPARATION INCENTIVE FUND, DEFENSE</t>
  </si>
  <si>
    <t>97X8335</t>
  </si>
  <si>
    <t>WAR-RISK INSURANCE REVOLVING FUND, MARITIME ADMINISTRATION</t>
  </si>
  <si>
    <t>69X4302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</si>
  <si>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</si>
  <si>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</si>
  <si>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</si>
  <si>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Contributions, American Battle Monuments Commission..........................................................................................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</si>
  <si>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</si>
  <si>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</si>
  <si>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Court of Veterans Appeals Retirement Fund.............................................................................................................................................</t>
  </si>
  <si>
    <t>Pursuant to 31 U.S.C. 3101(b).  By Act of May 27, 2003, Public Law 108-24, the Statutory Debt Limit was permanently increased to $7,384,000 million.</t>
  </si>
  <si>
    <t>Department of Defense, Education Benefits Fund.....................................................................................................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</si>
  <si>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</si>
  <si>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</si>
  <si>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</si>
  <si>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</si>
  <si>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</si>
  <si>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Marketable, Treasury Notes--Continued:</t>
  </si>
  <si>
    <t>1-1/4</t>
  </si>
  <si>
    <t>912827  U83</t>
  </si>
  <si>
    <t>after, bonds presented for payment prior to age 59-1/2 years carry a penalty except in case of death or disability or upon "roll-over" to other authorized investments.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</si>
  <si>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</si>
  <si>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</si>
  <si>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</si>
  <si>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</si>
  <si>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08/31-02/28</t>
  </si>
  <si>
    <t>11/15-05/15</t>
  </si>
  <si>
    <t>08/31-02/29</t>
  </si>
  <si>
    <t>10/15-04/15</t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</si>
  <si>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</si>
  <si>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</si>
  <si>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BW2</t>
  </si>
  <si>
    <t>DQ7</t>
  </si>
  <si>
    <t>Harbor Maintenance Trust Fund............................................................................................................................................</t>
  </si>
  <si>
    <t>Harry S. Truman Memorial Scholarship Trust Fund, Harry S. Truman</t>
  </si>
  <si>
    <t>GC5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</si>
  <si>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</si>
  <si>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</si>
  <si>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HA8</t>
  </si>
  <si>
    <t>Not Subject to the Statutory Debt Limit:</t>
  </si>
  <si>
    <t>MATURITIES:</t>
  </si>
  <si>
    <t>f</t>
  </si>
  <si>
    <t>Sept. 30, 2001</t>
  </si>
  <si>
    <t>Sept. 30, 2000</t>
  </si>
  <si>
    <t>COMPILED AND PUBLISHED BY</t>
  </si>
  <si>
    <t>THE BUREAU OF THE PUBLIC DEBT</t>
  </si>
  <si>
    <t>Issue</t>
  </si>
  <si>
    <t>Payable/</t>
  </si>
  <si>
    <t>Interest</t>
  </si>
  <si>
    <t>Amount in Millions of Dollars</t>
  </si>
  <si>
    <t>Loan Description</t>
  </si>
  <si>
    <t>Date</t>
  </si>
  <si>
    <t>Callable</t>
  </si>
  <si>
    <t>Payable</t>
  </si>
  <si>
    <t>Issued</t>
  </si>
  <si>
    <t>FARM CREDIT INSURANCE FUND, CAPITAL CORPORATION INVESTMENT FUND, FARM CREDIT ADMINISTRATION</t>
  </si>
  <si>
    <t>78X4136</t>
  </si>
  <si>
    <t>FEDERAL AID TO WILDLIFE RESTORATION, UNITED STATES FISH AND WILDLIFE SERVICE</t>
  </si>
  <si>
    <t>14X5029</t>
  </si>
  <si>
    <t>FEDERAL DISABILITY INSURANCE TRUST FUND</t>
  </si>
  <si>
    <t>20X8007</t>
  </si>
  <si>
    <t>FEDERAL HOSPITAL INSURANCE TRUST FUND</t>
  </si>
  <si>
    <t>20X8005</t>
  </si>
  <si>
    <t>FEDERAL HOUSING ADMINISTRATION - GENERAL AND SPECIAL RISK INSURANCE FUND, LUQUIDATING ACCOUNT, HOUSING AND</t>
  </si>
  <si>
    <t>86X4072</t>
  </si>
  <si>
    <t>FEDERAL HOUSING ADMINISTRATION - LIQUIDATING ACCOUNT, HOUSING AND URBAN DEVELOPMENT</t>
  </si>
  <si>
    <t>86X02362</t>
  </si>
  <si>
    <t>FEDERAL OLD-AGE AND SURVIVORS INSURANCE TRUST FUND</t>
  </si>
  <si>
    <t>20X8006</t>
  </si>
  <si>
    <t>FEDERAL SUPPLEMENTAL DISTRICT OF COLUMBIA PENSION FUND</t>
  </si>
  <si>
    <t>20X5500</t>
  </si>
  <si>
    <t>FEDERAL SUPPLEMENTARY MEDICAL INSURANCE TRUST FUND</t>
  </si>
  <si>
    <t>20X8004</t>
  </si>
  <si>
    <t>FOREIGN SERVICE RETIREMENT AND DISABILITY FUND</t>
  </si>
  <si>
    <t>19X8186</t>
  </si>
  <si>
    <t>FSLIC RESOLUTION FUND, THE</t>
  </si>
  <si>
    <t>51X4065</t>
  </si>
  <si>
    <t>GENERAL POST FUND, NATIONAL HOMES, DEPARTMENT OF VETERANS AFFAIRS</t>
  </si>
  <si>
    <t>36X8180</t>
  </si>
  <si>
    <t>GERMAN DEMOCRATIC REPUBLIC SETTLEMENT FUND</t>
  </si>
  <si>
    <t>20X6314</t>
  </si>
  <si>
    <t>GIFTS AND BEQUESTS, OFFICE OF THE SECRETARY, DEPARTMENT OF TRANSPORTATION</t>
  </si>
  <si>
    <t>69X8548</t>
  </si>
  <si>
    <t>GIFTS AND BEQUESTS, TREASURY</t>
  </si>
  <si>
    <t>20X8790</t>
  </si>
  <si>
    <t>RESERVE MOBILIZATION INCOME INSURANCE FUND, DEFENSE</t>
  </si>
  <si>
    <t>97X4179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</si>
  <si>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</si>
  <si>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Gifts and Donations, National Endowment for the Humanities..................................................................................................................</t>
  </si>
  <si>
    <t>Perishable Agricultural Commodities Act, Agricultural Marketing Service..........................................................................................................................</t>
  </si>
  <si>
    <t>02/15-08/15</t>
  </si>
  <si>
    <t>K</t>
  </si>
  <si>
    <t>5-1/2</t>
  </si>
  <si>
    <t>02/28-08/31</t>
  </si>
  <si>
    <t>L</t>
  </si>
  <si>
    <t>03/31-09/30</t>
  </si>
  <si>
    <t>6-1/4</t>
  </si>
  <si>
    <t>F</t>
  </si>
  <si>
    <t>7</t>
  </si>
  <si>
    <t>04/15-10/15</t>
  </si>
  <si>
    <t>M</t>
  </si>
  <si>
    <t>6-1/2</t>
  </si>
  <si>
    <t>04/30-10/31</t>
  </si>
  <si>
    <t>B</t>
  </si>
  <si>
    <t>9-1/8</t>
  </si>
  <si>
    <t>05/15-11/15</t>
  </si>
  <si>
    <t>N</t>
  </si>
  <si>
    <t>6-3/4</t>
  </si>
  <si>
    <t>05/31-11/30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</si>
  <si>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</si>
  <si>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</si>
  <si>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</si>
  <si>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</si>
  <si>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</si>
  <si>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</si>
  <si>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</si>
  <si>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</si>
  <si>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</si>
  <si>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</si>
  <si>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</si>
  <si>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</si>
  <si>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</si>
  <si>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</si>
  <si>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</si>
  <si>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</si>
  <si>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</si>
  <si>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</si>
  <si>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</si>
  <si>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</si>
  <si>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</si>
  <si>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</si>
  <si>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</si>
  <si>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</si>
  <si>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</si>
  <si>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</si>
  <si>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</si>
  <si>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</si>
  <si>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</si>
  <si>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</si>
  <si>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12-3/8</t>
  </si>
  <si>
    <t>13-3/4</t>
  </si>
  <si>
    <t>10-3/8</t>
  </si>
  <si>
    <t>10</t>
  </si>
  <si>
    <t>12</t>
  </si>
  <si>
    <t>12-3/4</t>
  </si>
  <si>
    <t>9-3/8</t>
  </si>
  <si>
    <t>13-7/8</t>
  </si>
  <si>
    <t>14</t>
  </si>
  <si>
    <t>13-1/4</t>
  </si>
  <si>
    <t>12-1/2</t>
  </si>
  <si>
    <t>11-1/4</t>
  </si>
  <si>
    <t>10-5/8</t>
  </si>
  <si>
    <t>Panama Canal Commission Compensation Fund......................................................................................................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</si>
  <si>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</si>
  <si>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912828  AQ3</t>
  </si>
  <si>
    <t>AR1</t>
  </si>
  <si>
    <t>912827  S86</t>
  </si>
  <si>
    <t>1-3/4</t>
  </si>
  <si>
    <t>HM2</t>
  </si>
  <si>
    <t>HN0</t>
  </si>
  <si>
    <t>basis (360 days a year) as indicated.  Effective November 10, 1997,  three decimal bidding, in .005 percent increments, is required for regular Treasury Bill</t>
  </si>
  <si>
    <t>BL3</t>
  </si>
  <si>
    <t>JH1</t>
  </si>
  <si>
    <t>Pension Benefit Guaranty Corporation..........................................................................................................................</t>
  </si>
  <si>
    <t>AX8</t>
  </si>
  <si>
    <t>HU4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</si>
  <si>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</si>
  <si>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</si>
  <si>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</si>
  <si>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t>Saving Association Insurance Fund, The..................................................................................................................</t>
  </si>
  <si>
    <t>Science, Space and Technology Education Trust Fund, National Aeronautics</t>
  </si>
  <si>
    <t>Servicemen's Group Life Insurance Fund................................................................................................................................</t>
  </si>
  <si>
    <t>EE3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</si>
  <si>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</si>
  <si>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1-5/8</t>
  </si>
  <si>
    <t>AS9</t>
  </si>
  <si>
    <t>HP5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</si>
  <si>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</si>
  <si>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</si>
  <si>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>Tax Court Judges Survivors Annuity Fund.............................................................................................................................</t>
  </si>
  <si>
    <t>Treasury Forfeiture Fund.................................................................................................................................................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</si>
  <si>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</si>
  <si>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</si>
  <si>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>912820 BV8</t>
  </si>
  <si>
    <t xml:space="preserve">     Office of Personnel Management.................................................................................................................................................................…</t>
  </si>
  <si>
    <t>Custodial Tribal Fund, Office of the Special Trustee for American Indians...............................................................................…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</si>
  <si>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</si>
  <si>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</si>
  <si>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</si>
  <si>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</si>
  <si>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Zero-coupon Treasury Bond.......................................</t>
  </si>
  <si>
    <t>Federal Ship Financing Escrow Fund, Maritime Administration...............................................................................…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</si>
  <si>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</si>
  <si>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Kuukpik Alaska Escrow Fund.................................................................................................................................................................…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</si>
  <si>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</si>
  <si>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</si>
  <si>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Inspection and Grading of Fishery Products, Department of Commerce.....................................................................................................................................…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</si>
  <si>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</si>
  <si>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</si>
  <si>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</si>
  <si>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</si>
  <si>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</si>
  <si>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</si>
  <si>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</si>
  <si>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</si>
  <si>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</si>
  <si>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</si>
  <si>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</si>
  <si>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</si>
  <si>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</si>
  <si>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</si>
  <si>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</si>
  <si>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</si>
  <si>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</si>
  <si>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</si>
  <si>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</si>
  <si>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</si>
  <si>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Patients Benefit Fund, National Institutes of Health..........................................................................................................................................................................................................................…</t>
  </si>
  <si>
    <t>Power Systems, Indian Irrigation Projects, Bureau of Indian Affairs...........................................................................................................................................…</t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</si>
  <si>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</si>
  <si>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BN9</t>
  </si>
  <si>
    <t>JK4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</si>
  <si>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</si>
  <si>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</si>
  <si>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</si>
  <si>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912828  AA8</t>
  </si>
  <si>
    <t>912827  P89</t>
  </si>
  <si>
    <t>4-3/8</t>
  </si>
  <si>
    <t>GZ4</t>
  </si>
  <si>
    <t>AE0</t>
  </si>
  <si>
    <t>HB6</t>
  </si>
  <si>
    <t>912828 AF7</t>
  </si>
  <si>
    <t>2-7/8</t>
  </si>
  <si>
    <t>07/15-01/15</t>
  </si>
  <si>
    <t>912828  AY6</t>
  </si>
  <si>
    <t>912827  Y55</t>
  </si>
  <si>
    <t>912828  AZ3</t>
  </si>
  <si>
    <t>2-5/8</t>
  </si>
  <si>
    <t>912827  4V1</t>
  </si>
  <si>
    <t>BA7</t>
  </si>
  <si>
    <t>Treasury Demand Deposit..................</t>
  </si>
  <si>
    <t>Daily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</si>
  <si>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</si>
  <si>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</si>
  <si>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</si>
  <si>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</si>
  <si>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</si>
  <si>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</si>
  <si>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</si>
  <si>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</si>
  <si>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</si>
  <si>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</si>
  <si>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</si>
  <si>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</si>
  <si>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</si>
  <si>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</si>
  <si>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</si>
  <si>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</si>
  <si>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</si>
  <si>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</si>
  <si>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5A6</t>
  </si>
  <si>
    <t>FX0</t>
  </si>
  <si>
    <t>CK7</t>
  </si>
  <si>
    <t xml:space="preserve">  5A6</t>
  </si>
  <si>
    <t xml:space="preserve">   Housing and Urban Development............................................................................................................................................................…</t>
  </si>
  <si>
    <t>3-1/4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</si>
  <si>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</si>
  <si>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</si>
  <si>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t>Inflation-Indexed Notes..................................................................................…</t>
  </si>
  <si>
    <t>Inflation-Indexed Bonds..................................................................................…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</si>
  <si>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</si>
  <si>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Domestic Series..................................................................................…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</si>
  <si>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</si>
  <si>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</si>
  <si>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t>Farm Credit Insurance Fund, Capital Corporation Investment Fund, Farm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</si>
  <si>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</si>
  <si>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</si>
  <si>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</si>
  <si>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</si>
  <si>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</si>
  <si>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912827 2M3</t>
  </si>
  <si>
    <t>2-1/4</t>
  </si>
  <si>
    <t>HD2</t>
  </si>
  <si>
    <t>912828  AF7</t>
  </si>
  <si>
    <t>HC4</t>
  </si>
  <si>
    <t>AG5</t>
  </si>
  <si>
    <t>Government Account Series - Held By the Public..........................................................................................................…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</si>
  <si>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</si>
  <si>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HE0</t>
  </si>
  <si>
    <t>912827  3X8</t>
  </si>
  <si>
    <t>912828  AJ9</t>
  </si>
  <si>
    <t>HF7</t>
  </si>
  <si>
    <t>912827  4F6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</si>
  <si>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</si>
  <si>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</si>
  <si>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</si>
  <si>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</si>
  <si>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</si>
  <si>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BD1</t>
  </si>
  <si>
    <t xml:space="preserve"> BD1</t>
  </si>
  <si>
    <t>JA6</t>
  </si>
  <si>
    <t>Government Account Series - Intragovernmental Holdings.......................................................................................................................................................................……………………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</si>
  <si>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</si>
  <si>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Federal Supplemental District of Columbia Pension Fund..................................................................................................................................................................................………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</si>
  <si>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</si>
  <si>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</si>
  <si>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</si>
  <si>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</si>
  <si>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Public Debt Outstanding......................................................................…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</si>
  <si>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</si>
  <si>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</si>
  <si>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Depositary Compensation Securities:</t>
  </si>
  <si>
    <t>Depositary Note ........................................</t>
  </si>
  <si>
    <t>Monthly</t>
  </si>
  <si>
    <t>Total Depositary Securities....................................................</t>
  </si>
  <si>
    <t>Depositary Compensation Securities..................................................................................…</t>
  </si>
  <si>
    <t>QB0</t>
  </si>
  <si>
    <t>QC8</t>
  </si>
  <si>
    <t>QD6</t>
  </si>
  <si>
    <t>QE4</t>
  </si>
  <si>
    <t>912827  W81</t>
  </si>
  <si>
    <t>912828  BS8</t>
  </si>
  <si>
    <t>JP3</t>
  </si>
  <si>
    <t>BU3</t>
  </si>
  <si>
    <t>JR9</t>
  </si>
  <si>
    <t>BT6</t>
  </si>
  <si>
    <t>06/15-12/15</t>
  </si>
  <si>
    <t>JQ1</t>
  </si>
  <si>
    <t>Assessment Funds, Office of the Comptroller of the Currency...........................................................………….......................</t>
  </si>
  <si>
    <t>United States Savings Securities..................................................................................…</t>
  </si>
  <si>
    <t>NATIONAL SERVICE TRUST, CORPORATION FOR NATIONAL AND COMMUNITY SERVICES</t>
  </si>
  <si>
    <t>95X8267</t>
  </si>
  <si>
    <t>IRANIAN CLAIMS SETTLEMENT FUND, TREASURY DEPARTMENT</t>
  </si>
  <si>
    <t>20X6312</t>
  </si>
  <si>
    <t>ISRAELI ARAB SCHOLARSHIP PROGRAM, UNITED STATES INFORMATION AGENCY</t>
  </si>
  <si>
    <t>19X8271</t>
  </si>
  <si>
    <t>JAMES MADISON MEMORIAL FELLOWSHIP FOUNDATION FUND</t>
  </si>
  <si>
    <t>95X8282</t>
  </si>
  <si>
    <t>JAPAN-UNITED STATES FRIENDSHIP TRUST FUND, JAPAN-UNITED STATES FRIENDSHIP COMMISSION</t>
  </si>
  <si>
    <t>95X8025</t>
  </si>
  <si>
    <t>JOHN C. STENNIS CENTER FOR PUBLIC SERVICE TRAINING AND DEVELOPMENT</t>
  </si>
  <si>
    <t>09X8275</t>
  </si>
  <si>
    <t>JUDICIAL OFFICERS RETIREMENT FUND</t>
  </si>
  <si>
    <t>10X8122</t>
  </si>
  <si>
    <t>JUDICIAL SURVIVORS ANNUITIES FUND</t>
  </si>
  <si>
    <t>10X8110</t>
  </si>
  <si>
    <t>KENNEDY CENTER REVENUE BOND SINKING FUND</t>
  </si>
  <si>
    <t>20X6311</t>
  </si>
  <si>
    <t>LAND BETWEEN THE LAKES TRUST FUND</t>
  </si>
  <si>
    <t>12X8039</t>
  </si>
  <si>
    <t>LEAKING UNDERGROUND STORAGE TANK TRUST FUND</t>
  </si>
  <si>
    <t>20X8153</t>
  </si>
  <si>
    <t>LIBRARY OF CONGRESS GIFT FUND</t>
  </si>
  <si>
    <t>03X8031</t>
  </si>
  <si>
    <t>LIBRARY OF CONGRESS TRUST FUND</t>
  </si>
  <si>
    <t>03X8032</t>
  </si>
  <si>
    <t>LINCOLN COUNTY LAND ACT</t>
  </si>
  <si>
    <t>14X5469</t>
  </si>
  <si>
    <t>LOWER BRULE SIOUX TRIBE TERRESTRIAL WILDLIFE HABITAT RESTORATION TRUST FUND</t>
  </si>
  <si>
    <t>20X8207</t>
  </si>
  <si>
    <t>MARKETING SERVICES, AGRICULTURAL MARKETING SERVICE</t>
  </si>
  <si>
    <t>12X2500</t>
  </si>
  <si>
    <t>MORRIS K. UDALL SCHOLARSHIP AND EXCELLENCE IN NATIONAL ENVIRONMENTAL POLICY TRUST FUND</t>
  </si>
  <si>
    <t>95X8615</t>
  </si>
  <si>
    <t>NATIONAL ARCHIVES TRUST FUND, NATIONAL ARCHIVES AND RECORDS ADMINISTRATION</t>
  </si>
  <si>
    <t>88X8436</t>
  </si>
  <si>
    <t>NATIONAL CREDIT UNION SHARE INSURANCE FUND</t>
  </si>
  <si>
    <t>25X4468</t>
  </si>
  <si>
    <t>NATIONAL FLOOD INSURANCE FUND, FEDERAL EMERGENCY MANAGEMENT AGENCY</t>
  </si>
  <si>
    <t>70X4236</t>
  </si>
  <si>
    <t>NATIONAL GIFT FUND, NATIONAL ARCHIVES AND RECORDS ADMINISTRATION</t>
  </si>
  <si>
    <t>88X8127</t>
  </si>
  <si>
    <t>NATIONAL INSTITUTES OF HEALTH CONDITIONAL GIFT FUND</t>
  </si>
  <si>
    <t>75X8253</t>
  </si>
  <si>
    <t>NATIONAL INSTITUTES OF HEALTH UNCONDITIONAL GIFT FUND</t>
  </si>
  <si>
    <t>75X8248</t>
  </si>
  <si>
    <t>NATIONAL SECURITY EDUCATION TRUST FUND</t>
  </si>
  <si>
    <t>97X8168</t>
  </si>
  <si>
    <t>NATIONAL SERVICE LIFE INSURANCE FUND, DEPARTMENT OF VETERANS AFFAIRS</t>
  </si>
  <si>
    <t>36X8132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</si>
  <si>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</si>
  <si>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</si>
  <si>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</si>
  <si>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</si>
  <si>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</si>
  <si>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>PV7</t>
  </si>
  <si>
    <t>PU9</t>
  </si>
  <si>
    <t xml:space="preserve">  Unclassified................................................</t>
  </si>
  <si>
    <t xml:space="preserve"> Series H..............................................................</t>
  </si>
  <si>
    <t>GX9</t>
  </si>
  <si>
    <t>AB6</t>
  </si>
  <si>
    <t>GY7</t>
  </si>
  <si>
    <t xml:space="preserve"> Series HH..........................................................</t>
  </si>
  <si>
    <t>FQ6</t>
  </si>
  <si>
    <t>CL5</t>
  </si>
  <si>
    <t xml:space="preserve"> Series H and HH Unclassified...............................</t>
  </si>
  <si>
    <t xml:space="preserve"> Series I..............................................................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</si>
  <si>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</si>
  <si>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</si>
  <si>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</si>
  <si>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</si>
  <si>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</si>
  <si>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AW0</t>
  </si>
  <si>
    <t>HT7</t>
  </si>
  <si>
    <t>Nonmarketable--Continued:</t>
  </si>
  <si>
    <t>Abandoned Mines Reclamation Fund, Office of Surface Mining Reclamation</t>
  </si>
  <si>
    <t>Fiscal Year 2004 to Date</t>
  </si>
  <si>
    <t>Fiscal Year 2003</t>
  </si>
  <si>
    <t>Airport and Airway Trust Fund......................................................................................................................................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</si>
  <si>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</si>
  <si>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GG6</t>
  </si>
  <si>
    <t>Sept. 30, 2002</t>
  </si>
  <si>
    <r>
      <t xml:space="preserve">Unamortized Discount  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</si>
  <si>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3</t>
    </r>
  </si>
  <si>
    <r>
      <t xml:space="preserve">Statutory Debt Limit  </t>
    </r>
    <r>
      <rPr>
        <vertAlign val="superscript"/>
        <sz val="14"/>
        <rFont val="Arial"/>
        <family val="2"/>
      </rPr>
      <t>4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</si>
  <si>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5  d</t>
  </si>
  <si>
    <t xml:space="preserve">  6   e</t>
  </si>
  <si>
    <t>6  e</t>
  </si>
  <si>
    <t>10 e</t>
  </si>
  <si>
    <t>12  e</t>
  </si>
  <si>
    <r>
      <t xml:space="preserve">        This Month </t>
    </r>
    <r>
      <rPr>
        <vertAlign val="superscript"/>
        <sz val="12"/>
        <rFont val="Arial"/>
        <family val="2"/>
      </rPr>
      <t>17</t>
    </r>
  </si>
  <si>
    <t>JANUARY 31, 2004</t>
  </si>
  <si>
    <t>TABLE I -- SUMMARY OF TREASURY SECURITIES OUTSTANDING, JANUARY 31, 2004</t>
  </si>
  <si>
    <t>TABLE II -- STATUTORY DEBT LIMIT, JANUARY 31, 2004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</si>
  <si>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JANUARY 31, 2004</t>
    </r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</si>
  <si>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JANUARY 31, 2004 -- Continued</t>
    </r>
  </si>
  <si>
    <t>TABLE IV - HISTORICAL DATA, JANUARY 31, 2004</t>
  </si>
  <si>
    <t>TABLE V - HOLDINGS OF TREASURY SECURITIES IN STRIPPED FORM, JANUARY 31, 2004</t>
  </si>
  <si>
    <t>TABLE V - HOLDINGS OF TREASURY SECURITIES IN STRIPPED FORM, JANUARY 31, 2004 -- Continued</t>
  </si>
  <si>
    <t>MONTHLY STATEMENT OF THE PUBLIC DEBT OF THE UNITED STATES JANUARY 31, 2004 - FOOTNOTES</t>
  </si>
  <si>
    <t>912795  PJ4</t>
  </si>
  <si>
    <t>912827  N81</t>
  </si>
  <si>
    <t>912820  BH9</t>
  </si>
  <si>
    <r>
      <t xml:space="preserve">Total Matured Treasury Notes  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0"/>
      </rPr>
      <t>...............................................................................…</t>
    </r>
  </si>
  <si>
    <t>QV6</t>
  </si>
  <si>
    <t>QU8</t>
  </si>
  <si>
    <t>QT1</t>
  </si>
  <si>
    <t>QS3</t>
  </si>
  <si>
    <t>QR5</t>
  </si>
  <si>
    <t xml:space="preserve">  BW9</t>
  </si>
  <si>
    <t>BV1</t>
  </si>
  <si>
    <t>912827  6D9</t>
  </si>
  <si>
    <t>Bills 07/08/04..........................................................…</t>
  </si>
  <si>
    <t>Jan. 31, 2004</t>
  </si>
  <si>
    <t>Jan. 31, 2003</t>
  </si>
  <si>
    <t>JS7</t>
  </si>
  <si>
    <t>BW9</t>
  </si>
  <si>
    <t>JT5</t>
  </si>
  <si>
    <t>Total Treasury Bonds...............................................................................…</t>
  </si>
  <si>
    <t>Total Treasury Inflation-Indexed Notes...............................................................................…</t>
  </si>
  <si>
    <t>2</t>
  </si>
  <si>
    <t>HV2</t>
  </si>
  <si>
    <t>HW0</t>
  </si>
  <si>
    <t>HX8</t>
  </si>
  <si>
    <t>Total Treasury Inflation-Indexed Bonds...............................................................................…</t>
  </si>
  <si>
    <t>Total Marketable...............................................................................…</t>
  </si>
  <si>
    <t>Total United States Savings Securities...............................................................................…</t>
  </si>
  <si>
    <t>National and Federal Reserve Bank Notes assumed by the United States on deposit of lawful money for their retirement ...........................................................................................</t>
  </si>
  <si>
    <t>5F5</t>
  </si>
  <si>
    <t>5M0</t>
  </si>
  <si>
    <t>5S7</t>
  </si>
  <si>
    <t>6D9</t>
  </si>
  <si>
    <t>6N7</t>
  </si>
  <si>
    <t>X80</t>
  </si>
  <si>
    <t>2U5</t>
  </si>
  <si>
    <t>5N8</t>
  </si>
  <si>
    <t>5Z1</t>
  </si>
  <si>
    <t>6J6</t>
  </si>
  <si>
    <t>DH8</t>
  </si>
  <si>
    <t>DK1</t>
  </si>
  <si>
    <t>CK2</t>
  </si>
  <si>
    <t>DM7</t>
  </si>
  <si>
    <t>CM8</t>
  </si>
  <si>
    <t>CP1</t>
  </si>
  <si>
    <t>DQ8</t>
  </si>
  <si>
    <t>DR6</t>
  </si>
  <si>
    <t>CS5</t>
  </si>
  <si>
    <t xml:space="preserve">  DU9</t>
  </si>
  <si>
    <t xml:space="preserve">  CV8</t>
  </si>
  <si>
    <t xml:space="preserve"> CY2</t>
  </si>
  <si>
    <t>Veterans Reopened Insurance Fund...........................................................................................................................</t>
  </si>
  <si>
    <t>Veterans Special Life Insurance Fund, Trust Revolving Fund, Department of</t>
  </si>
  <si>
    <t xml:space="preserve">  FA1</t>
  </si>
  <si>
    <t>QA2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</si>
  <si>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</si>
  <si>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</si>
  <si>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</si>
  <si>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CG6</t>
  </si>
  <si>
    <t>DZ7</t>
  </si>
  <si>
    <t>EA1</t>
  </si>
  <si>
    <t>6T4</t>
  </si>
  <si>
    <t>FP8</t>
  </si>
  <si>
    <t>3</t>
  </si>
  <si>
    <t>Marketing Services, Agricultural Marketing Service..................................................................................................................................................…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</si>
  <si>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</si>
  <si>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</si>
  <si>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(*)</t>
  </si>
  <si>
    <t>National Security Education Trust Fund..................................................................................................................…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</si>
  <si>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</si>
  <si>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</si>
  <si>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</si>
  <si>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Social Security Equivalent Benefit Account, Railroad Retirement Board..........................................................................................…</t>
  </si>
  <si>
    <t>Sept. 30, 2003</t>
  </si>
  <si>
    <t>912827  V82</t>
  </si>
  <si>
    <t>912828  BJ8</t>
  </si>
  <si>
    <t>02/29-08/31</t>
  </si>
  <si>
    <t>PN5</t>
  </si>
  <si>
    <t>PP0</t>
  </si>
  <si>
    <t>BK5</t>
  </si>
  <si>
    <t>3-1/8</t>
  </si>
  <si>
    <t>03/15-09/15</t>
  </si>
  <si>
    <t>JG3</t>
  </si>
  <si>
    <t>PQ8</t>
  </si>
  <si>
    <t>JF5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</si>
  <si>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</si>
  <si>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</si>
  <si>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912810  CG1</t>
  </si>
  <si>
    <t>Iranian Claims Settlement Fund, Treasury Department....................................................................................................................................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</si>
  <si>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</si>
  <si>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</si>
  <si>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</si>
  <si>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</si>
  <si>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</si>
  <si>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</si>
  <si>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</si>
  <si>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</si>
  <si>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 xml:space="preserve"> ...................</t>
  </si>
  <si>
    <t>................</t>
  </si>
  <si>
    <t>..............</t>
  </si>
  <si>
    <t>.............</t>
  </si>
  <si>
    <t>Treasury Notes:</t>
  </si>
  <si>
    <t>Series:</t>
  </si>
  <si>
    <t>Interest Rate:</t>
  </si>
  <si>
    <t>V</t>
  </si>
  <si>
    <t>06/30-12/31</t>
  </si>
  <si>
    <t>5-3/4</t>
  </si>
  <si>
    <t>E</t>
  </si>
  <si>
    <t>6-3/8</t>
  </si>
  <si>
    <t>01/15-07/15</t>
  </si>
  <si>
    <t>J</t>
  </si>
  <si>
    <t>01/31-07/31</t>
  </si>
  <si>
    <t>5-7/8</t>
  </si>
  <si>
    <t>A</t>
  </si>
  <si>
    <t>8-7/8</t>
  </si>
  <si>
    <t>Conditional Gift Fund, General, Department of State..........................................................................................................................................................................................................................…</t>
  </si>
  <si>
    <t>Expenses and Refunds, Inspection and Grading of Farm Products, Agricultural</t>
  </si>
  <si>
    <t xml:space="preserve">   Marketing Service.....................................................................................................................................................................................................................……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</si>
  <si>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</si>
  <si>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</si>
  <si>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Judicial Survivors Annuities Fund................................................................................................................................</t>
  </si>
  <si>
    <t>AP5</t>
  </si>
  <si>
    <t>AN0</t>
  </si>
  <si>
    <t>HK6</t>
  </si>
  <si>
    <t>HL4</t>
  </si>
  <si>
    <t>Kennedy Center Revenue Bond Sinking Fund............................................................................................................</t>
  </si>
  <si>
    <t>912828  AT7</t>
  </si>
  <si>
    <t>HQ3</t>
  </si>
  <si>
    <t>AU4</t>
  </si>
  <si>
    <t>HR1</t>
  </si>
  <si>
    <t>912828  AV2</t>
  </si>
  <si>
    <t>1-1/2</t>
  </si>
  <si>
    <t>HS9</t>
  </si>
  <si>
    <t>Leaking Underground Storage Tank Trust Fund..................................................................................................................</t>
  </si>
  <si>
    <t>Library of Congress Trust Fund.......................................................................................................................................</t>
  </si>
  <si>
    <t>7B2</t>
  </si>
  <si>
    <t>GL5</t>
  </si>
  <si>
    <t>Morris K. Udall Scholarship and Excellence in National Environmental</t>
  </si>
  <si>
    <t>Natural Resource Damage Assessment and Restoration Fund, U.S. Fish</t>
  </si>
  <si>
    <t>Aviation Insurance Revolving Fund..................................................................................................................................…</t>
  </si>
  <si>
    <t>07/31-01/31</t>
  </si>
  <si>
    <t>7J5</t>
  </si>
  <si>
    <t>BC3</t>
  </si>
  <si>
    <t>912828  BB5</t>
  </si>
  <si>
    <t>HZ3</t>
  </si>
  <si>
    <t>PZ8</t>
  </si>
  <si>
    <t xml:space="preserve">    National Credit Union Administration.................................................................................................................................................................…</t>
  </si>
  <si>
    <t>GT8</t>
  </si>
  <si>
    <t>Nuclear Waste Disposal Fund, Department of Energy..............................................................................................................................</t>
  </si>
  <si>
    <t>6X5</t>
  </si>
  <si>
    <t>Oliver Wendell Holmes Devise Fund, Library of Congress.........................................................................................</t>
  </si>
  <si>
    <t>JJ7</t>
  </si>
  <si>
    <t>Operating Fund, National Credit Union Administration.........................................................................................</t>
  </si>
  <si>
    <t>Overseas Private Investment Corporation, Insurance and Equity Non Credit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</si>
  <si>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</si>
  <si>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</si>
  <si>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</si>
  <si>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</si>
  <si>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PX3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</si>
  <si>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</si>
  <si>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</si>
  <si>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</si>
  <si>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Reconstituted</t>
  </si>
  <si>
    <r>
      <t xml:space="preserve">        This Month </t>
    </r>
    <r>
      <rPr>
        <vertAlign val="superscript"/>
        <sz val="13"/>
        <rFont val="Arial"/>
        <family val="2"/>
      </rPr>
      <t>17</t>
    </r>
  </si>
  <si>
    <t>Individual Indian Money, Bureau of Indian Affairs.....................................................................................................................................…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</si>
  <si>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</si>
  <si>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</si>
  <si>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</si>
  <si>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Open World Leadership Center Trust Fund......................................................................................................................................................................................................................................…….</t>
  </si>
  <si>
    <t>PK1</t>
  </si>
  <si>
    <t>PL9</t>
  </si>
  <si>
    <t>PM7</t>
  </si>
  <si>
    <t>BH2</t>
  </si>
  <si>
    <t>912828  BF6</t>
  </si>
  <si>
    <t>2-3/8</t>
  </si>
  <si>
    <t>BG4</t>
  </si>
  <si>
    <t>JE8</t>
  </si>
  <si>
    <t>JC2</t>
  </si>
  <si>
    <t>JD0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</si>
  <si>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</si>
  <si>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</si>
  <si>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Other Debt Not Subject to Limit..................................................................................…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</si>
  <si>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</si>
  <si>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</si>
  <si>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</si>
  <si>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</si>
  <si>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</si>
  <si>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</si>
  <si>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Less than $500 thousand.</t>
  </si>
  <si>
    <t>EM5</t>
  </si>
  <si>
    <t>CH4</t>
  </si>
  <si>
    <t>ER4</t>
  </si>
  <si>
    <t>Subject to the Statutory Debt Limit:</t>
  </si>
  <si>
    <t>total</t>
  </si>
  <si>
    <t>3-7/8</t>
  </si>
  <si>
    <t>DN4</t>
  </si>
  <si>
    <t>Corpus</t>
  </si>
  <si>
    <t>STRIP</t>
  </si>
  <si>
    <t>Maturity Date</t>
  </si>
  <si>
    <t>SAVING ASSOCIATION INSURANCE FUND, THE</t>
  </si>
  <si>
    <t>51X4066</t>
  </si>
  <si>
    <t>SCIENCE, SPACE AND TECHNOLOGY EDUCATION TRUST FUND, NATIONAL AERONAUTICS AND SPACE ADMINISTRATION</t>
  </si>
  <si>
    <t>80X8978</t>
  </si>
  <si>
    <t>SEIZED CURRENCY, UNITED STATES CUSTOMS SERVICE</t>
  </si>
  <si>
    <t>20X6511</t>
  </si>
  <si>
    <t>SENATE PRESERVATION TRUST FUND</t>
  </si>
  <si>
    <t>00X5509</t>
  </si>
  <si>
    <t>SERVICEMEN'S GROUP LIFE INSURANCE FUND</t>
  </si>
  <si>
    <t>36X4009</t>
  </si>
  <si>
    <t>SOCIAL SECURITY EQUIVALENT BENEFIT ACCOUNT, RAILROAD RETIREMENT BOARD</t>
  </si>
  <si>
    <t>60X8010</t>
  </si>
  <si>
    <t>SOUTH DAKOTA TERRESTRIAL WILDLIFE HABITAT RESTORATION TRUST FUND</t>
  </si>
  <si>
    <t>96X8217</t>
  </si>
  <si>
    <t>AN3</t>
  </si>
  <si>
    <t>AP8</t>
  </si>
  <si>
    <t>AQ6</t>
  </si>
  <si>
    <t>AR4</t>
  </si>
  <si>
    <t>AS2</t>
  </si>
  <si>
    <t>AT0</t>
  </si>
  <si>
    <t>AU7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</si>
  <si>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</si>
  <si>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</si>
  <si>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</si>
  <si>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</si>
  <si>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</si>
  <si>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</si>
  <si>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</si>
  <si>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</si>
  <si>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</si>
  <si>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</si>
  <si>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</si>
  <si>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</si>
  <si>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</si>
  <si>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</si>
  <si>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</si>
  <si>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</si>
  <si>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</si>
  <si>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</si>
  <si>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</si>
  <si>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</si>
  <si>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</si>
  <si>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</si>
  <si>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Seized Currency, United States Customs Service.........................................................................................................................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</si>
  <si>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</si>
  <si>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</si>
  <si>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</si>
  <si>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</si>
  <si>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</si>
  <si>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</si>
  <si>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</si>
  <si>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</si>
  <si>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</si>
  <si>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</si>
  <si>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</si>
  <si>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</si>
  <si>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</si>
  <si>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</si>
  <si>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</si>
  <si>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</si>
  <si>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</si>
  <si>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</si>
  <si>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</si>
  <si>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</si>
  <si>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</si>
  <si>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</si>
  <si>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</si>
  <si>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Belize Escrow, Debt Reduction, Treasury.........................................................................................................................…</t>
  </si>
  <si>
    <t>Public Enterprise Revolving Fund, Office of Thrift Supervision, Treasury...........................................................................................................................................................…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</si>
  <si>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</si>
  <si>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Bank Insurance Fund, The............................................................................................................................................................................................…</t>
  </si>
  <si>
    <t>912810  FD5</t>
  </si>
  <si>
    <t>District of Columbia Pension Liability Trust Fund.............................................................................................................................................</t>
  </si>
  <si>
    <t>Bills are sold by competitive bidding on a bank discount yield basis.  The sale price of these securities gives an approximate yield on a  bank discount</t>
  </si>
  <si>
    <t>For price and yield ranges of unmatured securities issued at a premium or discount see Table 3, Public Debt Operations of the quarterly Treasury Bulletin.</t>
  </si>
  <si>
    <t>Redeemable at option of United States on and after dates indicated, unless otherwise shown, but only on interest dates on 4 months' notice.</t>
  </si>
  <si>
    <t>Redeemable on demand.</t>
  </si>
  <si>
    <t xml:space="preserve">  FG8</t>
  </si>
  <si>
    <t xml:space="preserve">  FB9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</si>
  <si>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</si>
  <si>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</si>
  <si>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</si>
  <si>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</si>
  <si>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</si>
  <si>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DU8</t>
  </si>
  <si>
    <t>DV6</t>
  </si>
  <si>
    <t>German Democratic Republic Settlement Fund.........................................................................................................</t>
  </si>
  <si>
    <t>912827  T85</t>
  </si>
  <si>
    <t>Federal Supplementary Medical Insurance Trust Fund............................................................................................................................................................…</t>
  </si>
  <si>
    <t>PY1</t>
  </si>
  <si>
    <t>Foreign Service Retirement and Disability Fund....................................................................................................................………</t>
  </si>
  <si>
    <t>912828  AD2</t>
  </si>
  <si>
    <t>912827  Q88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</si>
  <si>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</si>
  <si>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</si>
  <si>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BEQUESTS OF MAJOR GENERAL FRED C. AINSWORTH, LIBRARY, WALTER REED GENERAL HOSPITAL</t>
  </si>
  <si>
    <t>21X8063</t>
  </si>
  <si>
    <t>CAPITOL PRESERVATION FUND, U. S. CAPITOL PRESERVATION COMMISSION</t>
  </si>
  <si>
    <t>09X8300</t>
  </si>
  <si>
    <t>CHEYENNE RIVER SIOUX TRIBE TERRESTRIAL WILDLIFE HABITAT RESTORATION TRUST FUND</t>
  </si>
  <si>
    <t>20X8209</t>
  </si>
  <si>
    <t>CHRISTOPHER COLUMBUS SCHOLARSHIP FUND, CHRISTOPHER COLUMBUS FELLOWSHIP FOUNDATION</t>
  </si>
  <si>
    <t>76X8187</t>
  </si>
  <si>
    <t>CIVIL SERVICE RETIREMENT AND DISABILITY FUND, OFFICE OF PERSONNEL MANAGEMENT</t>
  </si>
  <si>
    <t>24X8135</t>
  </si>
  <si>
    <t>CLAIMS COURT JUDGES RETIREMENT FUND</t>
  </si>
  <si>
    <t>10X8124</t>
  </si>
  <si>
    <t>COAST GUARD GENERAL GIFT FUND</t>
  </si>
  <si>
    <t>70X8533</t>
  </si>
  <si>
    <t>COMMUNITY DEVELOPMENT CREDIT UNION REVOLVING FUND, NATIONAL CREDIT UNION ADMINISTRATION</t>
  </si>
  <si>
    <t>25X4472</t>
  </si>
  <si>
    <t>CONDITIONAL GIFT FUND, GENERAL, DEPARTMENT OF STATE</t>
  </si>
  <si>
    <t>19X8822</t>
  </si>
  <si>
    <t>CONTRIBUTIONS, AMERICAN BATTLE MONUMENTS COMMISSION</t>
  </si>
  <si>
    <t>74X85692</t>
  </si>
  <si>
    <t>COURT OF VETERANS APPEALS RETIREMENT FUND</t>
  </si>
  <si>
    <t>95X8290</t>
  </si>
  <si>
    <t>DEPARTMENT OF DEFENSE, EDUCATION BENEFITS FUND</t>
  </si>
  <si>
    <t>97X8098</t>
  </si>
  <si>
    <t>DEPARTMENT OF DEFENSE MEDICARE ELIGIBLE RETIREE FUND</t>
  </si>
  <si>
    <t>97X5472</t>
  </si>
  <si>
    <t>DEPARTMENT OF DEFENSE MILITARY RETIREMENT FUND</t>
  </si>
  <si>
    <t>97X8097</t>
  </si>
  <si>
    <t>DEPARTMENT OF THE AIR FORCE GENERAL GIFT FUND</t>
  </si>
  <si>
    <t>57X8928</t>
  </si>
  <si>
    <t>DEPARTMENT OF THE ARMY GENERAL GIFT FUND</t>
  </si>
  <si>
    <t>21X8927</t>
  </si>
  <si>
    <t>DEPARTMENT OF THE NAVY GENERAL GIFT FUND</t>
  </si>
  <si>
    <t>17X8716</t>
  </si>
  <si>
    <t>DC</t>
  </si>
  <si>
    <t>20X8212</t>
  </si>
  <si>
    <t>Energy Employees Occupational Illness Compensation Fund.................................................................................................................................................................…</t>
  </si>
  <si>
    <t>Land Between the Lakes Trust Fund..................................................................................................................</t>
  </si>
  <si>
    <t>9-7/8</t>
  </si>
  <si>
    <t>9-1/4</t>
  </si>
  <si>
    <t>9</t>
  </si>
  <si>
    <t>Total Unmatured United States Savings Securities....................................................</t>
  </si>
  <si>
    <t>These securities are not eligible for stripping and reconstitution, see Table V, "Holdings of Treasury Securities in Stripped Form".</t>
  </si>
  <si>
    <t xml:space="preserve">  c   f</t>
  </si>
  <si>
    <t>8-1/8</t>
  </si>
  <si>
    <t>Treasury Inflation-Indexed Notes:</t>
  </si>
  <si>
    <t>3-5/8</t>
  </si>
  <si>
    <t>3-3/8</t>
  </si>
  <si>
    <t>Treasury Inflation-Indexed Bonds:</t>
  </si>
  <si>
    <t xml:space="preserve"> Various</t>
  </si>
  <si>
    <t>Domestic Series:</t>
  </si>
  <si>
    <t>6R8</t>
  </si>
  <si>
    <t>3-1/2</t>
  </si>
  <si>
    <t>Total Domestic Series....................................................</t>
  </si>
  <si>
    <t>Foreign Series:</t>
  </si>
  <si>
    <t>d</t>
  </si>
  <si>
    <t>Department of Defense, Medicare Retire Fund.....................................................................................................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</si>
  <si>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</si>
  <si>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</si>
  <si>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</si>
  <si>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</si>
  <si>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</si>
  <si>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</si>
  <si>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Thrift Savings Fund, Federal Retirement Thrift Investment Board….……....….......…</t>
  </si>
  <si>
    <t>Coast Guard General Gift Fund..........................................................................................................................................…</t>
  </si>
  <si>
    <t>HY6</t>
  </si>
  <si>
    <t>State and Local Government Series: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</si>
  <si>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</si>
  <si>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</si>
  <si>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</si>
  <si>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</si>
  <si>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</si>
  <si>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</si>
  <si>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</si>
  <si>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</si>
  <si>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</si>
  <si>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United States Savings Securities:</t>
  </si>
  <si>
    <t>United States Savings Bonds:</t>
  </si>
  <si>
    <t>United States Trustee System Fund, Justice..........................................................................................................................</t>
  </si>
  <si>
    <t xml:space="preserve"> 7M8</t>
  </si>
  <si>
    <t>7M8</t>
  </si>
  <si>
    <t>1-1/8</t>
  </si>
  <si>
    <t>GW1</t>
  </si>
  <si>
    <t>7L0</t>
  </si>
  <si>
    <t>4-7/8</t>
  </si>
  <si>
    <t>GV3</t>
  </si>
  <si>
    <t>Uranium Enrichment and Decommissioning Fund, Department of Energy.........................................................................................................</t>
  </si>
  <si>
    <t>4-5/8</t>
  </si>
  <si>
    <t>Utah Reclamation Mitigation and Conservation Account, Interior........................................................................................................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</si>
</sst>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</numFmts>
  <fonts count="3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  <font>
      <b/>
      <u val="double"/>
      <sz val="12"/>
      <color indexed="8"/>
      <name val="Arial"/>
      <family val="2"/>
    </font>
    <font>
      <u val="doub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/>
    </xf>
    <xf numFmtId="0" fontId="0" fillId="0" borderId="9" xfId="0" applyBorder="1" applyAlignment="1">
      <alignment/>
    </xf>
    <xf numFmtId="166" fontId="0" fillId="0" borderId="9" xfId="0" applyNumberFormat="1" applyBorder="1" applyAlignment="1" applyProtection="1">
      <alignment/>
      <protection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166" fontId="9" fillId="0" borderId="5" xfId="0" applyNumberFormat="1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"/>
    </xf>
    <xf numFmtId="37" fontId="0" fillId="0" borderId="5" xfId="0" applyNumberFormat="1" applyBorder="1" applyAlignment="1" applyProtection="1">
      <alignment horizontal="right"/>
      <protection/>
    </xf>
    <xf numFmtId="166" fontId="0" fillId="0" borderId="5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69" fontId="6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right"/>
    </xf>
    <xf numFmtId="37" fontId="0" fillId="0" borderId="17" xfId="0" applyNumberFormat="1" applyBorder="1" applyAlignment="1" applyProtection="1">
      <alignment/>
      <protection/>
    </xf>
    <xf numFmtId="0" fontId="0" fillId="0" borderId="18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166" fontId="0" fillId="0" borderId="5" xfId="0" applyNumberFormat="1" applyBorder="1" applyAlignment="1" applyProtection="1" quotePrefix="1">
      <alignment horizontal="centerContinuous"/>
      <protection/>
    </xf>
    <xf numFmtId="166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Continuous"/>
    </xf>
    <xf numFmtId="37" fontId="0" fillId="0" borderId="14" xfId="0" applyNumberForma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169" fontId="6" fillId="0" borderId="0" xfId="0" applyNumberFormat="1" applyFont="1" applyAlignment="1" applyProtection="1">
      <alignment horizontal="right"/>
      <protection/>
    </xf>
    <xf numFmtId="169" fontId="6" fillId="0" borderId="0" xfId="0" applyNumberFormat="1" applyFont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37" fontId="0" fillId="0" borderId="21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5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21" xfId="0" applyFont="1" applyBorder="1" applyAlignment="1">
      <alignment/>
    </xf>
    <xf numFmtId="37" fontId="9" fillId="0" borderId="22" xfId="0" applyNumberFormat="1" applyFon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5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/>
      <protection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5" xfId="0" applyNumberFormat="1" applyBorder="1" applyAlignment="1" applyProtection="1">
      <alignment/>
      <protection/>
    </xf>
    <xf numFmtId="166" fontId="0" fillId="0" borderId="5" xfId="0" applyNumberFormat="1" applyBorder="1" applyAlignment="1" applyProtection="1" quotePrefix="1">
      <alignment/>
      <protection/>
    </xf>
    <xf numFmtId="0" fontId="0" fillId="0" borderId="5" xfId="0" applyBorder="1" applyAlignment="1" quotePrefix="1">
      <alignment horizontal="center"/>
    </xf>
    <xf numFmtId="166" fontId="0" fillId="0" borderId="21" xfId="0" applyNumberFormat="1" applyBorder="1" applyAlignment="1" applyProtection="1">
      <alignment horizontal="center"/>
      <protection/>
    </xf>
    <xf numFmtId="166" fontId="0" fillId="0" borderId="21" xfId="0" applyNumberFormat="1" applyBorder="1" applyAlignment="1" applyProtection="1">
      <alignment horizontal="centerContinuous"/>
      <protection/>
    </xf>
    <xf numFmtId="0" fontId="7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6" xfId="0" applyNumberFormat="1" applyFont="1" applyBorder="1" applyAlignment="1">
      <alignment horizontal="centerContinuous"/>
    </xf>
    <xf numFmtId="49" fontId="0" fillId="0" borderId="24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7" fontId="0" fillId="0" borderId="2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NumberFormat="1" applyAlignment="1" applyProtection="1" quotePrefix="1">
      <alignment horizont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0" fillId="0" borderId="5" xfId="0" applyBorder="1" applyAlignment="1">
      <alignment horizontal="right"/>
    </xf>
    <xf numFmtId="0" fontId="0" fillId="0" borderId="26" xfId="0" applyBorder="1" applyAlignment="1">
      <alignment horizontal="centerContinuous"/>
    </xf>
    <xf numFmtId="37" fontId="0" fillId="0" borderId="4" xfId="0" applyNumberFormat="1" applyBorder="1" applyAlignment="1" applyProtection="1">
      <alignment horizontal="centerContinuous"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 horizontal="right"/>
      <protection/>
    </xf>
    <xf numFmtId="0" fontId="0" fillId="0" borderId="21" xfId="0" applyBorder="1" applyAlignment="1" quotePrefix="1">
      <alignment horizontal="right"/>
    </xf>
    <xf numFmtId="0" fontId="0" fillId="0" borderId="21" xfId="0" applyBorder="1" applyAlignment="1" quotePrefix="1">
      <alignment horizontal="center"/>
    </xf>
    <xf numFmtId="0" fontId="18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right"/>
    </xf>
    <xf numFmtId="166" fontId="9" fillId="0" borderId="21" xfId="0" applyNumberFormat="1" applyFont="1" applyBorder="1" applyAlignment="1" applyProtection="1">
      <alignment horizontal="centerContinuous"/>
      <protection/>
    </xf>
    <xf numFmtId="0" fontId="8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"/>
    </xf>
    <xf numFmtId="37" fontId="9" fillId="0" borderId="21" xfId="0" applyNumberFormat="1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0" fillId="0" borderId="18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180" fontId="0" fillId="0" borderId="4" xfId="15" applyNumberFormat="1" applyBorder="1" applyAlignment="1">
      <alignment horizontal="right"/>
    </xf>
    <xf numFmtId="180" fontId="6" fillId="0" borderId="4" xfId="15" applyNumberFormat="1" applyFont="1" applyBorder="1" applyAlignment="1">
      <alignment/>
    </xf>
    <xf numFmtId="180" fontId="9" fillId="0" borderId="27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6" xfId="0" applyFont="1" applyBorder="1" applyAlignment="1">
      <alignment/>
    </xf>
    <xf numFmtId="0" fontId="23" fillId="0" borderId="28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7" xfId="15" applyNumberFormat="1" applyFont="1" applyBorder="1" applyAlignment="1">
      <alignment/>
    </xf>
    <xf numFmtId="180" fontId="8" fillId="0" borderId="5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8" xfId="0" applyNumberFormat="1" applyFont="1" applyBorder="1" applyAlignment="1">
      <alignment/>
    </xf>
    <xf numFmtId="37" fontId="8" fillId="0" borderId="21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centerContinuous"/>
      <protection/>
    </xf>
    <xf numFmtId="37" fontId="0" fillId="0" borderId="12" xfId="0" applyNumberFormat="1" applyBorder="1" applyAlignment="1" applyProtection="1">
      <alignment horizontal="centerContinuous"/>
      <protection/>
    </xf>
    <xf numFmtId="37" fontId="0" fillId="0" borderId="10" xfId="0" applyNumberFormat="1" applyBorder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6" xfId="0" applyNumberForma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5" xfId="0" applyFont="1" applyBorder="1" applyAlignment="1">
      <alignment horizontal="centerContinuous"/>
    </xf>
    <xf numFmtId="166" fontId="6" fillId="0" borderId="5" xfId="0" applyNumberFormat="1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"/>
    </xf>
    <xf numFmtId="37" fontId="6" fillId="0" borderId="23" xfId="0" applyNumberFormat="1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37" fontId="6" fillId="0" borderId="23" xfId="0" applyNumberFormat="1" applyFont="1" applyBorder="1" applyAlignment="1" applyProtection="1">
      <alignment horizontal="right"/>
      <protection/>
    </xf>
    <xf numFmtId="0" fontId="6" fillId="0" borderId="30" xfId="0" applyFont="1" applyBorder="1" applyAlignment="1">
      <alignment horizontal="center"/>
    </xf>
    <xf numFmtId="37" fontId="6" fillId="0" borderId="30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22" xfId="0" applyNumberFormat="1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4" xfId="0" applyFont="1" applyBorder="1" applyAlignment="1">
      <alignment/>
    </xf>
    <xf numFmtId="37" fontId="9" fillId="0" borderId="4" xfId="0" applyNumberFormat="1" applyFon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21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37" fontId="8" fillId="0" borderId="6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5" xfId="15" applyNumberFormat="1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180" fontId="8" fillId="0" borderId="14" xfId="15" applyNumberFormat="1" applyFont="1" applyBorder="1" applyAlignment="1">
      <alignment/>
    </xf>
    <xf numFmtId="180" fontId="8" fillId="0" borderId="32" xfId="0" applyNumberFormat="1" applyFont="1" applyBorder="1" applyAlignment="1">
      <alignment/>
    </xf>
    <xf numFmtId="0" fontId="25" fillId="0" borderId="5" xfId="0" applyFont="1" applyBorder="1" applyAlignment="1" quotePrefix="1">
      <alignment horizontal="right"/>
    </xf>
    <xf numFmtId="0" fontId="25" fillId="0" borderId="5" xfId="0" applyFont="1" applyBorder="1" applyAlignment="1">
      <alignment horizontal="right"/>
    </xf>
    <xf numFmtId="37" fontId="11" fillId="0" borderId="12" xfId="0" applyNumberFormat="1" applyFont="1" applyBorder="1" applyAlignment="1" applyProtection="1">
      <alignment/>
      <protection/>
    </xf>
    <xf numFmtId="0" fontId="1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1" xfId="0" applyFont="1" applyBorder="1" applyAlignment="1">
      <alignment/>
    </xf>
    <xf numFmtId="41" fontId="6" fillId="0" borderId="33" xfId="15" applyNumberFormat="1" applyFont="1" applyBorder="1" applyAlignment="1">
      <alignment/>
    </xf>
    <xf numFmtId="41" fontId="0" fillId="0" borderId="10" xfId="15" applyNumberFormat="1" applyFont="1" applyBorder="1" applyAlignment="1">
      <alignment/>
    </xf>
    <xf numFmtId="41" fontId="0" fillId="0" borderId="6" xfId="15" applyNumberFormat="1" applyFont="1" applyBorder="1" applyAlignment="1">
      <alignment/>
    </xf>
    <xf numFmtId="41" fontId="6" fillId="0" borderId="34" xfId="15" applyNumberFormat="1" applyFont="1" applyBorder="1" applyAlignment="1">
      <alignment/>
    </xf>
    <xf numFmtId="41" fontId="6" fillId="0" borderId="21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10" fillId="0" borderId="35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0" xfId="0" applyFont="1" applyAlignment="1" quotePrefix="1">
      <alignment horizontal="right"/>
    </xf>
    <xf numFmtId="37" fontId="0" fillId="0" borderId="14" xfId="0" applyNumberFormat="1" applyBorder="1" applyAlignment="1">
      <alignment/>
    </xf>
    <xf numFmtId="37" fontId="6" fillId="0" borderId="13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 quotePrefix="1">
      <alignment horizontal="left" vertical="center"/>
    </xf>
    <xf numFmtId="3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37" fontId="0" fillId="0" borderId="38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177" fontId="0" fillId="0" borderId="5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5" xfId="0" applyFont="1" applyBorder="1" applyAlignment="1" quotePrefix="1">
      <alignment horizontal="right"/>
    </xf>
    <xf numFmtId="0" fontId="0" fillId="0" borderId="14" xfId="0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right"/>
    </xf>
    <xf numFmtId="177" fontId="0" fillId="0" borderId="1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 applyProtection="1">
      <alignment horizontal="center"/>
      <protection/>
    </xf>
    <xf numFmtId="37" fontId="0" fillId="0" borderId="39" xfId="0" applyNumberFormat="1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Border="1" applyAlignment="1">
      <alignment horizontal="right"/>
    </xf>
    <xf numFmtId="14" fontId="0" fillId="0" borderId="2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5" xfId="0" applyNumberFormat="1" applyFont="1" applyBorder="1" applyAlignment="1">
      <alignment/>
    </xf>
    <xf numFmtId="37" fontId="0" fillId="0" borderId="7" xfId="0" applyNumberFormat="1" applyFont="1" applyBorder="1" applyAlignment="1" applyProtection="1">
      <alignment horizontal="left"/>
      <protection/>
    </xf>
    <xf numFmtId="37" fontId="0" fillId="0" borderId="7" xfId="0" applyNumberFormat="1" applyFont="1" applyBorder="1" applyAlignment="1" applyProtection="1">
      <alignment/>
      <protection/>
    </xf>
    <xf numFmtId="0" fontId="10" fillId="0" borderId="31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9" fillId="0" borderId="21" xfId="0" applyFont="1" applyBorder="1" applyAlignment="1">
      <alignment horizontal="right"/>
    </xf>
    <xf numFmtId="166" fontId="9" fillId="0" borderId="21" xfId="0" applyNumberFormat="1" applyFont="1" applyBorder="1" applyAlignment="1" applyProtection="1">
      <alignment horizontal="centerContinuous"/>
      <protection/>
    </xf>
    <xf numFmtId="0" fontId="8" fillId="0" borderId="21" xfId="0" applyFont="1" applyBorder="1" applyAlignment="1">
      <alignment horizontal="centerContinuous"/>
    </xf>
    <xf numFmtId="0" fontId="9" fillId="0" borderId="21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40" xfId="0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18" xfId="0" applyNumberFormat="1" applyFont="1" applyBorder="1" applyAlignment="1">
      <alignment horizontal="centerContinuous"/>
    </xf>
    <xf numFmtId="7" fontId="0" fillId="0" borderId="40" xfId="0" applyNumberFormat="1" applyFont="1" applyBorder="1" applyAlignment="1">
      <alignment horizontal="centerContinuous"/>
    </xf>
    <xf numFmtId="0" fontId="0" fillId="0" borderId="41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7" fontId="28" fillId="0" borderId="0" xfId="0" applyNumberFormat="1" applyFont="1" applyAlignment="1">
      <alignment horizontal="centerContinuous"/>
    </xf>
    <xf numFmtId="0" fontId="4" fillId="0" borderId="18" xfId="0" applyFont="1" applyBorder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31" xfId="15" applyNumberFormat="1" applyFont="1" applyBorder="1" applyAlignment="1">
      <alignment/>
    </xf>
    <xf numFmtId="37" fontId="9" fillId="0" borderId="21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31" xfId="0" applyNumberFormat="1" applyFont="1" applyBorder="1" applyAlignment="1">
      <alignment/>
    </xf>
    <xf numFmtId="37" fontId="16" fillId="0" borderId="21" xfId="0" applyNumberFormat="1" applyFont="1" applyBorder="1" applyAlignment="1">
      <alignment/>
    </xf>
    <xf numFmtId="37" fontId="8" fillId="0" borderId="42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6" xfId="15" applyNumberFormat="1" applyFont="1" applyBorder="1" applyAlignment="1">
      <alignment horizontal="right"/>
    </xf>
    <xf numFmtId="37" fontId="16" fillId="0" borderId="18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5" xfId="0" applyNumberFormat="1" applyFont="1" applyBorder="1" applyAlignment="1" quotePrefix="1">
      <alignment horizontal="centerContinuous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7" fillId="0" borderId="21" xfId="0" applyFont="1" applyBorder="1" applyAlignment="1">
      <alignment horizontal="left"/>
    </xf>
    <xf numFmtId="37" fontId="15" fillId="0" borderId="34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 horizontal="right"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 horizontal="centerContinuous"/>
      <protection/>
    </xf>
    <xf numFmtId="0" fontId="10" fillId="0" borderId="3" xfId="0" applyFont="1" applyBorder="1" applyAlignment="1">
      <alignment/>
    </xf>
    <xf numFmtId="0" fontId="0" fillId="0" borderId="28" xfId="0" applyNumberFormat="1" applyFont="1" applyBorder="1" applyAlignment="1" quotePrefix="1">
      <alignment horizontal="center" vertical="center"/>
    </xf>
    <xf numFmtId="0" fontId="10" fillId="0" borderId="44" xfId="0" applyFont="1" applyBorder="1" applyAlignment="1">
      <alignment/>
    </xf>
    <xf numFmtId="0" fontId="0" fillId="0" borderId="45" xfId="0" applyNumberFormat="1" applyFont="1" applyBorder="1" applyAlignment="1" quotePrefix="1">
      <alignment horizontal="center"/>
    </xf>
    <xf numFmtId="0" fontId="0" fillId="0" borderId="25" xfId="0" applyNumberFormat="1" applyFont="1" applyBorder="1" applyAlignment="1" quotePrefix="1">
      <alignment horizontal="center" vertical="center"/>
    </xf>
    <xf numFmtId="37" fontId="0" fillId="0" borderId="46" xfId="0" applyNumberFormat="1" applyFont="1" applyBorder="1" applyAlignment="1">
      <alignment/>
    </xf>
    <xf numFmtId="41" fontId="0" fillId="0" borderId="25" xfId="15" applyNumberFormat="1" applyFont="1" applyBorder="1" applyAlignment="1">
      <alignment/>
    </xf>
    <xf numFmtId="37" fontId="0" fillId="0" borderId="47" xfId="0" applyNumberFormat="1" applyFont="1" applyBorder="1" applyAlignment="1">
      <alignment/>
    </xf>
    <xf numFmtId="166" fontId="0" fillId="0" borderId="21" xfId="0" applyNumberFormat="1" applyBorder="1" applyAlignment="1" applyProtection="1" quotePrefix="1">
      <alignment horizontal="centerContinuous"/>
      <protection/>
    </xf>
    <xf numFmtId="166" fontId="0" fillId="0" borderId="21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4" xfId="0" applyFont="1" applyBorder="1" applyAlignment="1" quotePrefix="1">
      <alignment horizontal="right"/>
    </xf>
    <xf numFmtId="0" fontId="0" fillId="0" borderId="48" xfId="0" applyFont="1" applyBorder="1" applyAlignment="1">
      <alignment/>
    </xf>
    <xf numFmtId="49" fontId="17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7" xfId="0" applyFont="1" applyBorder="1" applyAlignment="1" quotePrefix="1">
      <alignment horizontal="right"/>
    </xf>
    <xf numFmtId="0" fontId="25" fillId="0" borderId="17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15" fontId="0" fillId="0" borderId="45" xfId="0" applyNumberFormat="1" applyFont="1" applyBorder="1" applyAlignment="1" quotePrefix="1">
      <alignment horizontal="center"/>
    </xf>
    <xf numFmtId="0" fontId="6" fillId="0" borderId="0" xfId="0" applyFont="1" applyFill="1" applyAlignment="1">
      <alignment horizontal="left"/>
    </xf>
    <xf numFmtId="37" fontId="0" fillId="0" borderId="16" xfId="0" applyNumberFormat="1" applyBorder="1" applyAlignment="1" applyProtection="1">
      <alignment/>
      <protection/>
    </xf>
    <xf numFmtId="15" fontId="0" fillId="0" borderId="4" xfId="0" applyNumberFormat="1" applyFont="1" applyBorder="1" applyAlignment="1" quotePrefix="1">
      <alignment horizontal="center" vertical="center"/>
    </xf>
    <xf numFmtId="177" fontId="0" fillId="0" borderId="49" xfId="0" applyNumberFormat="1" applyFont="1" applyBorder="1" applyAlignment="1" applyProtection="1">
      <alignment horizontal="center"/>
      <protection/>
    </xf>
    <xf numFmtId="37" fontId="6" fillId="0" borderId="50" xfId="0" applyNumberFormat="1" applyFont="1" applyBorder="1" applyAlignment="1" applyProtection="1">
      <alignment/>
      <protection/>
    </xf>
    <xf numFmtId="37" fontId="6" fillId="0" borderId="50" xfId="0" applyNumberFormat="1" applyFont="1" applyBorder="1" applyAlignment="1" applyProtection="1">
      <alignment/>
      <protection/>
    </xf>
    <xf numFmtId="37" fontId="6" fillId="0" borderId="51" xfId="0" applyNumberFormat="1" applyFont="1" applyBorder="1" applyAlignment="1" applyProtection="1">
      <alignment horizontal="centerContinuous"/>
      <protection/>
    </xf>
    <xf numFmtId="37" fontId="0" fillId="0" borderId="48" xfId="0" applyNumberFormat="1" applyFont="1" applyBorder="1" applyAlignment="1" applyProtection="1">
      <alignment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53" xfId="0" applyNumberFormat="1" applyBorder="1" applyAlignment="1" applyProtection="1">
      <alignment/>
      <protection/>
    </xf>
    <xf numFmtId="14" fontId="0" fillId="0" borderId="5" xfId="0" applyNumberForma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7" fontId="0" fillId="0" borderId="5" xfId="0" applyNumberFormat="1" applyFont="1" applyBorder="1" applyAlignment="1">
      <alignment horizontal="right"/>
    </xf>
    <xf numFmtId="169" fontId="29" fillId="0" borderId="21" xfId="0" applyNumberFormat="1" applyFont="1" applyBorder="1" applyAlignment="1" applyProtection="1">
      <alignment/>
      <protection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166" fontId="30" fillId="0" borderId="21" xfId="0" applyNumberFormat="1" applyFont="1" applyBorder="1" applyAlignment="1" applyProtection="1">
      <alignment horizontal="centerContinuous"/>
      <protection/>
    </xf>
    <xf numFmtId="169" fontId="29" fillId="0" borderId="21" xfId="0" applyNumberFormat="1" applyFont="1" applyBorder="1" applyAlignment="1" applyProtection="1">
      <alignment horizontal="centerContinuous"/>
      <protection/>
    </xf>
    <xf numFmtId="37" fontId="0" fillId="0" borderId="21" xfId="0" applyNumberFormat="1" applyFont="1" applyBorder="1" applyAlignment="1">
      <alignment horizontal="right"/>
    </xf>
    <xf numFmtId="37" fontId="0" fillId="0" borderId="32" xfId="0" applyNumberFormat="1" applyBorder="1" applyAlignment="1" applyProtection="1">
      <alignment horizontal="right"/>
      <protection/>
    </xf>
    <xf numFmtId="0" fontId="11" fillId="0" borderId="28" xfId="0" applyFont="1" applyBorder="1" applyAlignment="1">
      <alignment/>
    </xf>
    <xf numFmtId="0" fontId="11" fillId="0" borderId="18" xfId="0" applyFont="1" applyBorder="1" applyAlignment="1">
      <alignment/>
    </xf>
    <xf numFmtId="37" fontId="0" fillId="0" borderId="54" xfId="0" applyNumberFormat="1" applyBorder="1" applyAlignment="1" applyProtection="1">
      <alignment/>
      <protection/>
    </xf>
    <xf numFmtId="37" fontId="0" fillId="0" borderId="55" xfId="0" applyNumberFormat="1" applyBorder="1" applyAlignment="1" applyProtection="1">
      <alignment/>
      <protection/>
    </xf>
    <xf numFmtId="0" fontId="12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3"/>
  <sheetViews>
    <sheetView tabSelected="1" view="pageBreakPreview" zoomScale="75" zoomScaleNormal="65" zoomScaleSheetLayoutView="75" workbookViewId="0" topLeftCell="A1">
      <selection activeCell="A1" sqref="A1:M1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4.99609375" style="0" customWidth="1"/>
    <col min="10" max="10" width="4.99609375" style="0" customWidth="1"/>
    <col min="11" max="11" width="4.88671875" style="0" customWidth="1"/>
    <col min="12" max="12" width="16.5546875" style="0" customWidth="1"/>
    <col min="13" max="13" width="4.77734375" style="0" customWidth="1"/>
  </cols>
  <sheetData>
    <row r="1" spans="1:235" ht="37.5">
      <c r="A1" s="456" t="s">
        <v>575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56" t="s">
        <v>12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4" spans="1:235" ht="32.25" customHeight="1">
      <c r="A4" s="457" t="s">
        <v>823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20.25" customHeight="1" thickBot="1">
      <c r="A5" s="458" t="s">
        <v>14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16.5" customHeight="1" thickTop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13" ht="23.25">
      <c r="A7" s="432" t="s">
        <v>824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</row>
    <row r="8" spans="1:11" ht="8.25" customHeight="1">
      <c r="A8" s="5"/>
      <c r="B8" s="6"/>
      <c r="C8" s="6"/>
      <c r="D8" s="6"/>
      <c r="E8" s="6"/>
      <c r="F8" s="3"/>
      <c r="G8" s="3"/>
      <c r="H8" s="3"/>
      <c r="I8" s="3"/>
      <c r="J8" s="3"/>
      <c r="K8" s="3"/>
    </row>
    <row r="9" spans="1:13" ht="16.5" customHeight="1">
      <c r="A9" s="454" t="s">
        <v>355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</row>
    <row r="10" spans="1:13" ht="20.25">
      <c r="A10" s="197"/>
      <c r="B10" s="197"/>
      <c r="C10" s="197"/>
      <c r="D10" s="197"/>
      <c r="E10" s="448" t="s">
        <v>254</v>
      </c>
      <c r="F10" s="449"/>
      <c r="G10" s="449"/>
      <c r="H10" s="450"/>
      <c r="I10" s="450"/>
      <c r="J10" s="451"/>
      <c r="K10" s="251"/>
      <c r="L10" s="253"/>
      <c r="M10" s="253"/>
    </row>
    <row r="11" spans="1:13" ht="20.25">
      <c r="A11" s="439" t="s">
        <v>15</v>
      </c>
      <c r="B11" s="439"/>
      <c r="C11" s="439"/>
      <c r="D11" s="435"/>
      <c r="E11" s="433" t="s">
        <v>257</v>
      </c>
      <c r="F11" s="434"/>
      <c r="G11" s="435"/>
      <c r="H11" s="433" t="s">
        <v>255</v>
      </c>
      <c r="I11" s="434"/>
      <c r="J11" s="435"/>
      <c r="K11" s="433" t="s">
        <v>251</v>
      </c>
      <c r="L11" s="452"/>
      <c r="M11" s="452"/>
    </row>
    <row r="12" spans="1:13" ht="20.25">
      <c r="A12" s="198"/>
      <c r="B12" s="198"/>
      <c r="C12" s="198"/>
      <c r="D12" s="199"/>
      <c r="E12" s="436" t="s">
        <v>902</v>
      </c>
      <c r="F12" s="437"/>
      <c r="G12" s="438"/>
      <c r="H12" s="436" t="s">
        <v>256</v>
      </c>
      <c r="I12" s="437"/>
      <c r="J12" s="438"/>
      <c r="K12" s="200"/>
      <c r="L12" s="201"/>
      <c r="M12" s="73"/>
    </row>
    <row r="13" spans="1:12" ht="18">
      <c r="A13" s="105" t="s">
        <v>18</v>
      </c>
      <c r="D13" s="12"/>
      <c r="E13" s="10"/>
      <c r="F13" s="11"/>
      <c r="G13" s="12"/>
      <c r="H13" s="10"/>
      <c r="J13" s="12"/>
      <c r="K13" s="10"/>
      <c r="L13" s="11"/>
    </row>
    <row r="14" spans="2:12" ht="19.5" customHeight="1">
      <c r="B14" s="105" t="s">
        <v>669</v>
      </c>
      <c r="D14" s="25"/>
      <c r="E14" s="167" t="s">
        <v>13</v>
      </c>
      <c r="F14" s="365">
        <f>SUM(Marketable!O56)-I14</f>
        <v>907840.9709999999</v>
      </c>
      <c r="G14" s="194"/>
      <c r="H14" s="167"/>
      <c r="I14" s="119">
        <v>30.4</v>
      </c>
      <c r="J14" s="190"/>
      <c r="K14" s="204"/>
      <c r="L14" s="358">
        <f>Marketable!O56</f>
        <v>907871.3709999999</v>
      </c>
    </row>
    <row r="15" spans="2:12" ht="19.5" customHeight="1">
      <c r="B15" s="105" t="s">
        <v>409</v>
      </c>
      <c r="D15" s="25"/>
      <c r="E15" s="262" t="s">
        <v>13</v>
      </c>
      <c r="F15" s="365">
        <f>SUM(Marketable!O148)-I15</f>
        <v>1921742.4366000004</v>
      </c>
      <c r="G15" s="391"/>
      <c r="H15" s="261"/>
      <c r="I15" s="119">
        <v>36.95</v>
      </c>
      <c r="J15" s="391"/>
      <c r="K15" s="204"/>
      <c r="L15" s="358">
        <f>Marketable!O148</f>
        <v>1921779.3866000003</v>
      </c>
    </row>
    <row r="16" spans="2:12" ht="19.5" customHeight="1">
      <c r="B16" s="105" t="s">
        <v>410</v>
      </c>
      <c r="D16" s="25"/>
      <c r="E16" s="262" t="s">
        <v>13</v>
      </c>
      <c r="F16" s="365">
        <f>SUM(Marketable!O253)-I16</f>
        <v>564179.90805</v>
      </c>
      <c r="G16" s="391"/>
      <c r="H16" s="261"/>
      <c r="I16" s="119">
        <v>232.221</v>
      </c>
      <c r="J16" s="391"/>
      <c r="K16" s="204"/>
      <c r="L16" s="358">
        <f>+Marketable!O253</f>
        <v>564412.12905</v>
      </c>
    </row>
    <row r="17" spans="2:12" ht="19.5" customHeight="1">
      <c r="B17" s="105" t="s">
        <v>670</v>
      </c>
      <c r="D17" s="25"/>
      <c r="E17" s="167" t="s">
        <v>13</v>
      </c>
      <c r="F17" s="365">
        <f>SUM(Marketable!O277)</f>
        <v>141485.57430684002</v>
      </c>
      <c r="G17" s="194"/>
      <c r="H17" s="167"/>
      <c r="I17" s="119">
        <v>0</v>
      </c>
      <c r="J17" s="190"/>
      <c r="K17" s="204"/>
      <c r="L17" s="358">
        <f>Marketable!O277</f>
        <v>141485.57430684002</v>
      </c>
    </row>
    <row r="18" spans="2:12" ht="19.5" customHeight="1">
      <c r="B18" s="105" t="s">
        <v>671</v>
      </c>
      <c r="D18" s="25"/>
      <c r="E18" s="167" t="s">
        <v>13</v>
      </c>
      <c r="F18" s="365">
        <f>SUM(Marketable!O284)</f>
        <v>46240.81604014999</v>
      </c>
      <c r="G18" s="194"/>
      <c r="H18" s="167"/>
      <c r="I18" s="120">
        <v>0</v>
      </c>
      <c r="J18" s="190"/>
      <c r="K18" s="204"/>
      <c r="L18" s="358">
        <f>Marketable!O284</f>
        <v>46240.81604014999</v>
      </c>
    </row>
    <row r="19" spans="1:12" s="75" customFormat="1" ht="21.75" thickBot="1">
      <c r="A19" s="153" t="s">
        <v>672</v>
      </c>
      <c r="D19" s="191"/>
      <c r="E19" s="193" t="s">
        <v>13</v>
      </c>
      <c r="F19" s="366">
        <f>SUM(F14:F18)</f>
        <v>3581489.70599699</v>
      </c>
      <c r="G19" s="195"/>
      <c r="H19" s="261">
        <v>1</v>
      </c>
      <c r="I19" s="360">
        <f>SUM(I14:I18)</f>
        <v>299.571</v>
      </c>
      <c r="J19" s="191"/>
      <c r="K19" s="257"/>
      <c r="L19" s="366">
        <f>Marketable!O286</f>
        <v>3581789.27699699</v>
      </c>
    </row>
    <row r="20" spans="4:12" ht="15.75" thickTop="1">
      <c r="D20" s="25"/>
      <c r="E20" s="14"/>
      <c r="F20" s="367"/>
      <c r="G20" s="25"/>
      <c r="H20" s="14"/>
      <c r="I20" s="370"/>
      <c r="J20" s="25"/>
      <c r="K20" s="14"/>
      <c r="L20" s="367"/>
    </row>
    <row r="21" spans="1:12" ht="18">
      <c r="A21" s="105" t="s">
        <v>20</v>
      </c>
      <c r="D21" s="25"/>
      <c r="E21" s="14"/>
      <c r="F21" s="367"/>
      <c r="G21" s="25"/>
      <c r="H21" s="14"/>
      <c r="I21" s="370"/>
      <c r="J21" s="25"/>
      <c r="K21" s="14"/>
      <c r="L21" s="367"/>
    </row>
    <row r="22" spans="2:12" ht="19.5" customHeight="1">
      <c r="B22" s="105" t="s">
        <v>717</v>
      </c>
      <c r="D22" s="25"/>
      <c r="E22" s="167" t="s">
        <v>13</v>
      </c>
      <c r="F22" s="365">
        <f>Nonmarketable!O11</f>
        <v>18812</v>
      </c>
      <c r="G22" s="194"/>
      <c r="H22" s="167"/>
      <c r="I22" s="119">
        <v>0</v>
      </c>
      <c r="J22" s="190"/>
      <c r="K22" s="204"/>
      <c r="L22" s="358">
        <f>Nonmarketable!O11</f>
        <v>18812</v>
      </c>
    </row>
    <row r="23" spans="2:12" ht="19.5" customHeight="1">
      <c r="B23" s="105" t="s">
        <v>673</v>
      </c>
      <c r="D23" s="25"/>
      <c r="E23" s="167" t="s">
        <v>13</v>
      </c>
      <c r="F23" s="365">
        <f>Nonmarketable!O22</f>
        <v>29995.179999999997</v>
      </c>
      <c r="G23" s="194"/>
      <c r="H23" s="167"/>
      <c r="I23" s="119">
        <v>0</v>
      </c>
      <c r="J23" s="190"/>
      <c r="K23" s="204"/>
      <c r="L23" s="358">
        <f>Nonmarketable!O22</f>
        <v>29995.179999999997</v>
      </c>
    </row>
    <row r="24" spans="2:12" ht="19.5" customHeight="1">
      <c r="B24" s="105" t="s">
        <v>674</v>
      </c>
      <c r="D24" s="25"/>
      <c r="E24" s="167" t="s">
        <v>13</v>
      </c>
      <c r="F24" s="365">
        <f>Nonmarketable!O28</f>
        <v>5881.364589999999</v>
      </c>
      <c r="G24" s="194"/>
      <c r="H24" s="167"/>
      <c r="I24" s="119">
        <v>0</v>
      </c>
      <c r="J24" s="190"/>
      <c r="K24" s="204"/>
      <c r="L24" s="358">
        <f>Nonmarketable!O28</f>
        <v>5881.364589999999</v>
      </c>
    </row>
    <row r="25" spans="2:12" ht="19.5" customHeight="1">
      <c r="B25" s="105" t="s">
        <v>108</v>
      </c>
      <c r="D25" s="25"/>
      <c r="E25" s="167" t="s">
        <v>13</v>
      </c>
      <c r="F25" s="365">
        <f>SUM(Nonmarketable!O33)</f>
        <v>1.0530000000000044</v>
      </c>
      <c r="G25" s="194"/>
      <c r="H25" s="167"/>
      <c r="I25" s="119">
        <v>0</v>
      </c>
      <c r="J25" s="190"/>
      <c r="K25" s="204"/>
      <c r="L25" s="358">
        <f>Nonmarketable!O33</f>
        <v>1.0530000000000044</v>
      </c>
    </row>
    <row r="26" spans="2:12" ht="19.5" customHeight="1">
      <c r="B26" s="105" t="s">
        <v>109</v>
      </c>
      <c r="D26" s="25"/>
      <c r="E26" s="167" t="s">
        <v>13</v>
      </c>
      <c r="F26" s="365">
        <f>SUM(Nonmarketable!O45)</f>
        <v>147438.49158899</v>
      </c>
      <c r="G26" s="194"/>
      <c r="H26" s="167"/>
      <c r="I26" s="119">
        <v>0</v>
      </c>
      <c r="J26" s="190"/>
      <c r="K26" s="204"/>
      <c r="L26" s="358">
        <f>Nonmarketable!O45</f>
        <v>147438.49158899</v>
      </c>
    </row>
    <row r="27" spans="2:12" ht="19.5" customHeight="1">
      <c r="B27" s="105" t="s">
        <v>731</v>
      </c>
      <c r="D27" s="25"/>
      <c r="E27" s="167" t="s">
        <v>13</v>
      </c>
      <c r="F27" s="365">
        <f>Nonmarketable!O64</f>
        <v>204253.8438717799</v>
      </c>
      <c r="G27" s="194"/>
      <c r="H27" s="167"/>
      <c r="I27" s="119">
        <v>0</v>
      </c>
      <c r="J27" s="190"/>
      <c r="K27" s="204"/>
      <c r="L27" s="358">
        <f>Nonmarketable!O64</f>
        <v>204253.8438717799</v>
      </c>
    </row>
    <row r="28" spans="2:12" ht="19.5" customHeight="1">
      <c r="B28" s="105" t="s">
        <v>997</v>
      </c>
      <c r="D28" s="25"/>
      <c r="E28" s="167" t="s">
        <v>13</v>
      </c>
      <c r="F28" s="365">
        <f>GAS!L43</f>
        <v>53088.42114889</v>
      </c>
      <c r="G28" s="194"/>
      <c r="H28" s="262"/>
      <c r="I28" s="119">
        <f>GAS!L252</f>
        <v>2963734.186713369</v>
      </c>
      <c r="J28" s="190"/>
      <c r="K28" s="204"/>
      <c r="L28" s="358">
        <f>GAS!L253</f>
        <v>3016821.6078622593</v>
      </c>
    </row>
    <row r="29" spans="2:12" ht="19.5" customHeight="1">
      <c r="B29" s="105" t="s">
        <v>998</v>
      </c>
      <c r="D29" s="25"/>
      <c r="E29" s="167" t="s">
        <v>13</v>
      </c>
      <c r="F29" s="368">
        <f>SUM(GAS!L268)</f>
        <v>4240.9189502399995</v>
      </c>
      <c r="G29" s="194"/>
      <c r="H29" s="167"/>
      <c r="I29" s="120">
        <v>0</v>
      </c>
      <c r="J29" s="190"/>
      <c r="K29" s="258"/>
      <c r="L29" s="252">
        <f>GAS!L268</f>
        <v>4240.9189502399995</v>
      </c>
    </row>
    <row r="30" spans="1:12" s="75" customFormat="1" ht="21.75" thickBot="1">
      <c r="A30" s="153" t="s">
        <v>1010</v>
      </c>
      <c r="D30" s="191"/>
      <c r="E30" s="193" t="s">
        <v>13</v>
      </c>
      <c r="F30" s="366">
        <f>SUM(F22:F29)</f>
        <v>463711.2731498999</v>
      </c>
      <c r="G30" s="195"/>
      <c r="H30" s="192"/>
      <c r="I30" s="246">
        <f>SUM(I22:I29)</f>
        <v>2963734.186713369</v>
      </c>
      <c r="J30" s="191"/>
      <c r="K30" s="257"/>
      <c r="L30" s="366">
        <f>GAS!L270</f>
        <v>3427445.4598632692</v>
      </c>
    </row>
    <row r="31" spans="4:12" ht="15.75" thickTop="1">
      <c r="D31" s="25"/>
      <c r="E31" s="14"/>
      <c r="F31" s="367"/>
      <c r="G31" s="25"/>
      <c r="H31" s="14"/>
      <c r="I31" s="370"/>
      <c r="J31" s="25"/>
      <c r="K31" s="14"/>
      <c r="L31" s="367"/>
    </row>
    <row r="32" spans="1:13" s="75" customFormat="1" ht="21.75">
      <c r="A32" s="264" t="s">
        <v>710</v>
      </c>
      <c r="B32" s="265"/>
      <c r="C32" s="265"/>
      <c r="D32" s="266"/>
      <c r="E32" s="397" t="s">
        <v>13</v>
      </c>
      <c r="F32" s="369">
        <f>F19+F30</f>
        <v>4045200.9791468903</v>
      </c>
      <c r="G32" s="196"/>
      <c r="H32" s="396"/>
      <c r="I32" s="369">
        <f>+I19+I30</f>
        <v>2964033.757713369</v>
      </c>
      <c r="J32" s="424"/>
      <c r="K32" s="203"/>
      <c r="L32" s="369">
        <f>GAS!L272</f>
        <v>7009234.736860259</v>
      </c>
      <c r="M32" s="425"/>
    </row>
    <row r="33" spans="1:13" ht="46.5" customHeight="1">
      <c r="A33" s="453" t="s">
        <v>825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</row>
    <row r="34" spans="1:13" ht="17.25" customHeight="1">
      <c r="A34" s="442" t="s">
        <v>24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</row>
    <row r="35" spans="1:13" ht="20.25">
      <c r="A35" s="197"/>
      <c r="B35" s="197"/>
      <c r="C35" s="197"/>
      <c r="D35" s="197"/>
      <c r="E35" s="444" t="s">
        <v>254</v>
      </c>
      <c r="F35" s="445"/>
      <c r="G35" s="445"/>
      <c r="H35" s="446"/>
      <c r="I35" s="446"/>
      <c r="J35" s="447"/>
      <c r="K35" s="247"/>
      <c r="L35" s="247"/>
      <c r="M35" s="124"/>
    </row>
    <row r="36" spans="1:13" ht="20.25">
      <c r="A36" s="439"/>
      <c r="B36" s="439"/>
      <c r="C36" s="439"/>
      <c r="D36" s="435"/>
      <c r="E36" s="433" t="s">
        <v>257</v>
      </c>
      <c r="F36" s="434"/>
      <c r="G36" s="435"/>
      <c r="H36" s="433" t="s">
        <v>255</v>
      </c>
      <c r="I36" s="434"/>
      <c r="J36" s="435"/>
      <c r="K36" s="433" t="s">
        <v>251</v>
      </c>
      <c r="L36" s="441"/>
      <c r="M36" s="441"/>
    </row>
    <row r="37" spans="1:13" ht="20.25">
      <c r="A37" s="210"/>
      <c r="B37" s="210"/>
      <c r="C37" s="210"/>
      <c r="D37" s="211"/>
      <c r="E37" s="436" t="s">
        <v>902</v>
      </c>
      <c r="F37" s="437"/>
      <c r="G37" s="438"/>
      <c r="H37" s="436" t="s">
        <v>256</v>
      </c>
      <c r="I37" s="437"/>
      <c r="J37" s="438"/>
      <c r="K37" s="201"/>
      <c r="L37" s="201"/>
      <c r="M37" s="290"/>
    </row>
    <row r="38" spans="1:13" ht="18">
      <c r="A38" s="105" t="s">
        <v>239</v>
      </c>
      <c r="B38" s="105"/>
      <c r="C38" s="105"/>
      <c r="D38" s="124"/>
      <c r="E38" s="248"/>
      <c r="F38" s="106"/>
      <c r="G38" s="249"/>
      <c r="H38" s="213"/>
      <c r="I38" s="213"/>
      <c r="J38" s="249"/>
      <c r="K38" s="78"/>
      <c r="L38" s="78"/>
      <c r="M38" s="78"/>
    </row>
    <row r="39" spans="1:13" ht="19.5" customHeight="1">
      <c r="A39" s="105"/>
      <c r="B39" s="105" t="s">
        <v>1011</v>
      </c>
      <c r="C39" s="105"/>
      <c r="D39" s="124"/>
      <c r="E39" s="212" t="s">
        <v>13</v>
      </c>
      <c r="F39" s="357">
        <f>+F32</f>
        <v>4045200.9791468903</v>
      </c>
      <c r="G39" s="214"/>
      <c r="H39" s="213"/>
      <c r="I39" s="357">
        <f>+I32</f>
        <v>2964033.757713369</v>
      </c>
      <c r="J39" s="214"/>
      <c r="K39" s="205"/>
      <c r="L39" s="206">
        <f>+L32</f>
        <v>7009234.736860259</v>
      </c>
      <c r="M39" s="78"/>
    </row>
    <row r="40" spans="1:13" ht="19.5" customHeight="1">
      <c r="A40" s="105"/>
      <c r="B40" s="105" t="s">
        <v>253</v>
      </c>
      <c r="C40" s="105"/>
      <c r="D40" s="124"/>
      <c r="E40" s="212"/>
      <c r="F40" s="358"/>
      <c r="G40" s="214"/>
      <c r="H40" s="213"/>
      <c r="I40" s="358"/>
      <c r="J40" s="214"/>
      <c r="K40" s="105"/>
      <c r="L40" s="206"/>
      <c r="M40" s="78"/>
    </row>
    <row r="41" spans="1:13" ht="19.5" customHeight="1">
      <c r="A41" s="105"/>
      <c r="B41" s="105"/>
      <c r="C41" s="105" t="s">
        <v>1012</v>
      </c>
      <c r="D41" s="124"/>
      <c r="E41" s="212" t="s">
        <v>13</v>
      </c>
      <c r="F41" s="358">
        <f>+GAS!L261</f>
        <v>514.67264293</v>
      </c>
      <c r="G41" s="214"/>
      <c r="H41" s="213"/>
      <c r="I41" s="119">
        <v>0</v>
      </c>
      <c r="J41" s="214"/>
      <c r="K41" s="206"/>
      <c r="L41" s="206">
        <f>SUM(GAS!L261)</f>
        <v>514.67264293</v>
      </c>
      <c r="M41" s="78"/>
    </row>
    <row r="42" spans="1:13" ht="19.5" customHeight="1">
      <c r="A42" s="105"/>
      <c r="B42" s="105"/>
      <c r="C42" s="105" t="s">
        <v>814</v>
      </c>
      <c r="D42" s="124"/>
      <c r="E42" s="212" t="s">
        <v>13</v>
      </c>
      <c r="F42" s="358">
        <f>41972.61318921-I42</f>
        <v>29157.73716304</v>
      </c>
      <c r="G42" s="214"/>
      <c r="H42" s="213"/>
      <c r="I42" s="358">
        <v>12814.87602617</v>
      </c>
      <c r="J42" s="214"/>
      <c r="K42" s="215"/>
      <c r="L42" s="361">
        <f>F42+I42</f>
        <v>41972.61318921</v>
      </c>
      <c r="M42" s="78"/>
    </row>
    <row r="43" spans="1:13" ht="19.5" customHeight="1" thickBot="1">
      <c r="A43" s="105"/>
      <c r="B43" s="105" t="s">
        <v>1013</v>
      </c>
      <c r="C43" s="105"/>
      <c r="D43" s="124"/>
      <c r="E43" s="212" t="s">
        <v>13</v>
      </c>
      <c r="F43" s="359">
        <f>+F39-F41-F42</f>
        <v>4015528.5693409205</v>
      </c>
      <c r="G43" s="214"/>
      <c r="H43" s="213"/>
      <c r="I43" s="359">
        <f>+I39-I41-I42</f>
        <v>2951218.881687199</v>
      </c>
      <c r="J43" s="214"/>
      <c r="K43" s="254"/>
      <c r="L43" s="362">
        <f>SUM(L39-L41-L42)</f>
        <v>6966747.451028119</v>
      </c>
      <c r="M43" s="78"/>
    </row>
    <row r="44" spans="1:13" ht="18.75" thickTop="1">
      <c r="A44" s="105"/>
      <c r="B44" s="105"/>
      <c r="C44" s="105"/>
      <c r="D44" s="124"/>
      <c r="E44" s="212"/>
      <c r="F44" s="358"/>
      <c r="G44" s="214"/>
      <c r="H44" s="213"/>
      <c r="I44" s="358"/>
      <c r="J44" s="214"/>
      <c r="K44" s="213"/>
      <c r="L44" s="287"/>
      <c r="M44" s="78"/>
    </row>
    <row r="45" spans="1:13" ht="18">
      <c r="A45" s="105"/>
      <c r="B45" s="105" t="s">
        <v>252</v>
      </c>
      <c r="C45" s="105"/>
      <c r="D45" s="124"/>
      <c r="E45" s="212"/>
      <c r="F45" s="358"/>
      <c r="G45" s="214"/>
      <c r="H45" s="213"/>
      <c r="I45" s="358"/>
      <c r="J45" s="214"/>
      <c r="K45" s="213"/>
      <c r="L45" s="287"/>
      <c r="M45" s="78"/>
    </row>
    <row r="46" spans="1:13" ht="21" customHeight="1" thickBot="1">
      <c r="A46" s="105"/>
      <c r="B46" s="105"/>
      <c r="C46" s="105" t="s">
        <v>815</v>
      </c>
      <c r="D46" s="124"/>
      <c r="E46" s="212" t="s">
        <v>13</v>
      </c>
      <c r="F46" s="250">
        <v>103.98826386</v>
      </c>
      <c r="G46" s="214"/>
      <c r="H46" s="213"/>
      <c r="I46" s="250">
        <v>0</v>
      </c>
      <c r="J46" s="214"/>
      <c r="K46" s="255"/>
      <c r="L46" s="208">
        <f>SUM(F46,I46)</f>
        <v>103.98826386</v>
      </c>
      <c r="M46" s="78"/>
    </row>
    <row r="47" spans="1:13" ht="18.75" thickTop="1">
      <c r="A47" s="105"/>
      <c r="B47" s="105"/>
      <c r="C47" s="105"/>
      <c r="D47" s="124"/>
      <c r="E47" s="212"/>
      <c r="F47" s="358"/>
      <c r="G47" s="214"/>
      <c r="H47" s="213"/>
      <c r="I47" s="358"/>
      <c r="J47" s="214"/>
      <c r="K47" s="213"/>
      <c r="L47" s="206"/>
      <c r="M47" s="78"/>
    </row>
    <row r="48" spans="1:13" ht="21" thickBot="1">
      <c r="A48" s="197"/>
      <c r="B48" s="202" t="s">
        <v>1013</v>
      </c>
      <c r="C48" s="197"/>
      <c r="D48" s="210"/>
      <c r="E48" s="212" t="s">
        <v>13</v>
      </c>
      <c r="F48" s="360">
        <f>+F43+F46</f>
        <v>4015632.5576047804</v>
      </c>
      <c r="G48" s="214"/>
      <c r="H48" s="213"/>
      <c r="I48" s="360">
        <f>+I43+I46</f>
        <v>2951218.881687199</v>
      </c>
      <c r="J48" s="214"/>
      <c r="K48" s="256"/>
      <c r="L48" s="363">
        <f>SUM(L43+L46)</f>
        <v>6966851.439291979</v>
      </c>
      <c r="M48" s="78"/>
    </row>
    <row r="49" spans="1:13" ht="22.5" thickBot="1" thickTop="1">
      <c r="A49" s="78"/>
      <c r="B49" s="105" t="s">
        <v>816</v>
      </c>
      <c r="C49" s="78"/>
      <c r="D49" s="78"/>
      <c r="E49" s="78"/>
      <c r="F49" s="78"/>
      <c r="G49" s="78"/>
      <c r="H49" s="78"/>
      <c r="I49" s="78"/>
      <c r="J49" s="78"/>
      <c r="K49" s="259" t="s">
        <v>13</v>
      </c>
      <c r="L49" s="364">
        <v>7384000</v>
      </c>
      <c r="M49" s="78"/>
    </row>
    <row r="50" spans="1:13" ht="18.75" thickTop="1">
      <c r="A50" s="290"/>
      <c r="B50" s="209" t="s">
        <v>1018</v>
      </c>
      <c r="C50" s="290"/>
      <c r="D50" s="290"/>
      <c r="E50" s="290"/>
      <c r="F50" s="290"/>
      <c r="G50" s="290"/>
      <c r="H50" s="290"/>
      <c r="I50" s="290"/>
      <c r="J50" s="290"/>
      <c r="K50" s="260" t="s">
        <v>13</v>
      </c>
      <c r="L50" s="207">
        <f>SUM(L49-L48)</f>
        <v>417148.5607080208</v>
      </c>
      <c r="M50" s="290"/>
    </row>
    <row r="51" spans="1:13" ht="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ht="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ht="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ht="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ht="1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26.25" customHeight="1">
      <c r="A58" s="440" t="s">
        <v>22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</row>
    <row r="59" spans="1:13" ht="26.25" customHeight="1">
      <c r="A59" s="440" t="s">
        <v>23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</row>
    <row r="60" spans="1:13" ht="15" customHeight="1">
      <c r="A60" s="393"/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</row>
    <row r="61" spans="1:13" ht="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5.75">
      <c r="A62" s="429" t="s">
        <v>446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</row>
    <row r="63" spans="1:13" ht="18">
      <c r="A63" s="431" t="s">
        <v>447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</row>
  </sheetData>
  <mergeCells count="26">
    <mergeCell ref="A9:M9"/>
    <mergeCell ref="A1:M1"/>
    <mergeCell ref="A2:M2"/>
    <mergeCell ref="A4:M4"/>
    <mergeCell ref="A5:M5"/>
    <mergeCell ref="E10:J10"/>
    <mergeCell ref="K11:M11"/>
    <mergeCell ref="A33:M33"/>
    <mergeCell ref="H11:J11"/>
    <mergeCell ref="H12:J12"/>
    <mergeCell ref="A59:M59"/>
    <mergeCell ref="K36:M36"/>
    <mergeCell ref="A34:M34"/>
    <mergeCell ref="A58:M58"/>
    <mergeCell ref="E35:J35"/>
    <mergeCell ref="E36:G36"/>
    <mergeCell ref="A62:M62"/>
    <mergeCell ref="A63:M63"/>
    <mergeCell ref="A7:M7"/>
    <mergeCell ref="E11:G11"/>
    <mergeCell ref="E12:G12"/>
    <mergeCell ref="A11:D11"/>
    <mergeCell ref="A36:D36"/>
    <mergeCell ref="H36:J36"/>
    <mergeCell ref="E37:G37"/>
    <mergeCell ref="H37:J37"/>
  </mergeCells>
  <printOptions horizontalCentered="1" verticalCentered="1"/>
  <pageMargins left="0.25" right="0.25" top="0.4" bottom="0.3" header="0" footer="0"/>
  <pageSetup horizontalDpi="600" verticalDpi="600" orientation="portrait" scale="59" r:id="rId1"/>
  <rowBreaks count="1" manualBreakCount="1">
    <brk id="6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346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3.445312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1.77734375" style="48" customWidth="1"/>
    <col min="11" max="11" width="13.886718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7.21484375" style="0" customWidth="1"/>
  </cols>
  <sheetData>
    <row r="1" spans="1:16" ht="16.5" customHeight="1">
      <c r="A1" s="7">
        <v>2</v>
      </c>
      <c r="B1" s="2" t="s">
        <v>826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6"/>
    </row>
    <row r="2" spans="1:16" ht="10.5" customHeight="1" thickBot="1">
      <c r="A2" s="30"/>
      <c r="B2" s="30"/>
      <c r="C2" s="30"/>
      <c r="I2" s="31"/>
      <c r="P2" s="7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67"/>
      <c r="K3" s="26"/>
      <c r="L3" s="32"/>
      <c r="M3" s="32"/>
      <c r="N3" s="32"/>
      <c r="O3" s="32"/>
      <c r="P3" s="32"/>
    </row>
    <row r="4" spans="3:16" ht="15.75" customHeight="1">
      <c r="C4" s="89"/>
      <c r="G4" s="16" t="s">
        <v>448</v>
      </c>
      <c r="H4" s="16" t="s">
        <v>449</v>
      </c>
      <c r="I4" s="29"/>
      <c r="J4" s="34" t="s">
        <v>450</v>
      </c>
      <c r="K4" s="16" t="s">
        <v>451</v>
      </c>
      <c r="L4" s="3"/>
      <c r="M4" s="3"/>
      <c r="N4" s="3"/>
      <c r="O4" s="3"/>
      <c r="P4" s="3"/>
    </row>
    <row r="5" spans="1:11" ht="15.75" customHeight="1">
      <c r="A5" s="3" t="s">
        <v>452</v>
      </c>
      <c r="B5" s="3"/>
      <c r="C5" s="3"/>
      <c r="D5" s="3"/>
      <c r="E5" s="3"/>
      <c r="F5" s="3"/>
      <c r="G5" s="16" t="s">
        <v>453</v>
      </c>
      <c r="H5" s="16" t="s">
        <v>454</v>
      </c>
      <c r="I5" s="29"/>
      <c r="J5" s="34" t="s">
        <v>455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61"/>
      <c r="K6" s="37" t="s">
        <v>456</v>
      </c>
      <c r="L6" s="38"/>
      <c r="M6" s="37" t="s">
        <v>923</v>
      </c>
      <c r="N6" s="38"/>
      <c r="O6" s="37" t="s">
        <v>16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6"/>
      <c r="J7" s="34"/>
      <c r="K7" s="16"/>
      <c r="L7" s="97"/>
      <c r="M7" s="16"/>
      <c r="N7" s="97"/>
      <c r="O7" s="16"/>
      <c r="P7" s="97"/>
    </row>
    <row r="8" spans="1:16" ht="18">
      <c r="A8" s="23" t="s">
        <v>18</v>
      </c>
      <c r="B8" s="23"/>
      <c r="C8" s="22"/>
      <c r="G8" s="18"/>
      <c r="H8" s="18"/>
      <c r="I8" s="39"/>
      <c r="J8" s="68"/>
      <c r="K8" s="40"/>
      <c r="L8" s="21"/>
      <c r="M8" s="14"/>
      <c r="O8" s="40"/>
      <c r="P8" s="41"/>
    </row>
    <row r="9" spans="2:16" ht="19.5">
      <c r="B9" s="9" t="s">
        <v>925</v>
      </c>
      <c r="F9" s="156" t="s">
        <v>817</v>
      </c>
      <c r="G9" s="18"/>
      <c r="H9" s="18"/>
      <c r="I9" s="39"/>
      <c r="J9" s="68"/>
      <c r="K9" s="14"/>
      <c r="M9" s="14"/>
      <c r="O9" s="47"/>
      <c r="P9" s="21"/>
    </row>
    <row r="10" spans="2:16" ht="17.25" customHeight="1">
      <c r="B10" s="9" t="s">
        <v>926</v>
      </c>
      <c r="E10" s="9" t="s">
        <v>927</v>
      </c>
      <c r="F10" s="9"/>
      <c r="G10" s="18"/>
      <c r="H10" s="18"/>
      <c r="I10" s="39"/>
      <c r="J10" s="68"/>
      <c r="K10" s="14"/>
      <c r="M10" s="14"/>
      <c r="O10" s="47"/>
      <c r="P10" s="21"/>
    </row>
    <row r="11" spans="3:16" ht="15.75" customHeight="1">
      <c r="C11" s="88" t="s">
        <v>832</v>
      </c>
      <c r="D11" s="44"/>
      <c r="E11" s="126">
        <v>1.025</v>
      </c>
      <c r="F11" s="63"/>
      <c r="G11" s="52">
        <v>37840</v>
      </c>
      <c r="H11" s="125">
        <v>38022</v>
      </c>
      <c r="I11" s="394"/>
      <c r="J11" s="46">
        <v>38022</v>
      </c>
      <c r="K11" s="40">
        <v>22939.797</v>
      </c>
      <c r="L11" s="21"/>
      <c r="M11" s="47" t="s">
        <v>928</v>
      </c>
      <c r="N11" s="27"/>
      <c r="O11" s="40">
        <f>K11+K12+K13</f>
        <v>58464.195</v>
      </c>
      <c r="P11" s="21"/>
    </row>
    <row r="12" spans="3:16" ht="15.75" customHeight="1">
      <c r="C12" s="88"/>
      <c r="D12" s="44"/>
      <c r="E12" s="126">
        <v>0.94</v>
      </c>
      <c r="F12" s="63"/>
      <c r="G12" s="52">
        <v>37931</v>
      </c>
      <c r="H12" s="125"/>
      <c r="I12" s="394"/>
      <c r="J12" s="46"/>
      <c r="K12" s="40">
        <v>22767.028</v>
      </c>
      <c r="L12" s="21"/>
      <c r="M12" s="47"/>
      <c r="N12" s="27"/>
      <c r="O12" s="40"/>
      <c r="P12" s="21"/>
    </row>
    <row r="13" spans="3:16" ht="15.75" customHeight="1">
      <c r="C13" s="43"/>
      <c r="D13" s="44"/>
      <c r="E13" s="126">
        <v>0.85</v>
      </c>
      <c r="F13" s="63"/>
      <c r="G13" s="52">
        <v>37994</v>
      </c>
      <c r="H13" s="125"/>
      <c r="I13" s="394"/>
      <c r="J13" s="46"/>
      <c r="K13" s="40">
        <v>12757.37</v>
      </c>
      <c r="L13" s="21"/>
      <c r="M13" s="47"/>
      <c r="N13" s="27"/>
      <c r="O13" s="40"/>
      <c r="P13" s="21"/>
    </row>
    <row r="14" spans="3:16" ht="15.75" customHeight="1">
      <c r="C14" s="43" t="s">
        <v>1000</v>
      </c>
      <c r="D14" s="44"/>
      <c r="E14" s="126">
        <v>1.03</v>
      </c>
      <c r="F14" s="63"/>
      <c r="G14" s="52">
        <v>37847</v>
      </c>
      <c r="H14" s="125">
        <v>38029</v>
      </c>
      <c r="I14" s="394"/>
      <c r="J14" s="46">
        <v>38029</v>
      </c>
      <c r="K14" s="40">
        <v>21533.242</v>
      </c>
      <c r="L14" s="21"/>
      <c r="M14" s="47" t="s">
        <v>928</v>
      </c>
      <c r="N14" s="27"/>
      <c r="O14" s="40">
        <f>K14+K15+K16</f>
        <v>55188.083</v>
      </c>
      <c r="P14" s="21"/>
    </row>
    <row r="15" spans="3:16" ht="15.75" customHeight="1">
      <c r="C15" s="43"/>
      <c r="D15" s="44"/>
      <c r="E15" s="126">
        <v>0.935</v>
      </c>
      <c r="F15" s="63"/>
      <c r="G15" s="52">
        <v>37938</v>
      </c>
      <c r="H15" s="125"/>
      <c r="I15" s="394"/>
      <c r="J15" s="46"/>
      <c r="K15" s="40">
        <v>21514.253</v>
      </c>
      <c r="L15" s="21"/>
      <c r="M15" s="47"/>
      <c r="N15" s="27"/>
      <c r="O15" s="40"/>
      <c r="P15" s="21"/>
    </row>
    <row r="16" spans="3:16" ht="15.75" customHeight="1">
      <c r="C16" s="43"/>
      <c r="D16" s="44"/>
      <c r="E16" s="126">
        <v>0.84</v>
      </c>
      <c r="F16" s="63"/>
      <c r="G16" s="52">
        <v>38001</v>
      </c>
      <c r="H16" s="125"/>
      <c r="I16" s="394"/>
      <c r="J16" s="46"/>
      <c r="K16" s="40">
        <v>12140.588</v>
      </c>
      <c r="L16" s="21"/>
      <c r="M16" s="47"/>
      <c r="N16" s="27"/>
      <c r="O16" s="40"/>
      <c r="P16" s="21"/>
    </row>
    <row r="17" spans="3:16" ht="15.75" customHeight="1">
      <c r="C17" s="43" t="s">
        <v>1001</v>
      </c>
      <c r="D17" s="44"/>
      <c r="E17" s="126">
        <v>1.035</v>
      </c>
      <c r="F17" s="63"/>
      <c r="G17" s="52">
        <v>37854</v>
      </c>
      <c r="H17" s="125">
        <v>38036</v>
      </c>
      <c r="I17" s="394"/>
      <c r="J17" s="46">
        <v>38036</v>
      </c>
      <c r="K17" s="40">
        <v>21725.104</v>
      </c>
      <c r="L17" s="21"/>
      <c r="M17" s="47" t="s">
        <v>928</v>
      </c>
      <c r="N17" s="27"/>
      <c r="O17" s="40">
        <f>K17+K18+K19</f>
        <v>56375.001000000004</v>
      </c>
      <c r="P17" s="21"/>
    </row>
    <row r="18" spans="3:16" ht="15.75" customHeight="1">
      <c r="C18" s="43"/>
      <c r="D18" s="44"/>
      <c r="E18" s="126">
        <v>0.935</v>
      </c>
      <c r="F18" s="63"/>
      <c r="G18" s="52">
        <v>37945</v>
      </c>
      <c r="H18" s="125"/>
      <c r="I18" s="394"/>
      <c r="J18" s="46"/>
      <c r="K18" s="40">
        <v>22057.351</v>
      </c>
      <c r="L18" s="21"/>
      <c r="M18" s="47"/>
      <c r="N18" s="27"/>
      <c r="O18" s="40"/>
      <c r="P18" s="21"/>
    </row>
    <row r="19" spans="3:16" ht="15.75" customHeight="1">
      <c r="C19" s="43"/>
      <c r="D19" s="44"/>
      <c r="E19" s="126">
        <v>0.8</v>
      </c>
      <c r="F19" s="63"/>
      <c r="G19" s="52">
        <v>38008</v>
      </c>
      <c r="H19" s="125"/>
      <c r="I19" s="394"/>
      <c r="J19" s="46"/>
      <c r="K19" s="40">
        <v>12592.546</v>
      </c>
      <c r="L19" s="21"/>
      <c r="M19" s="47"/>
      <c r="N19" s="27"/>
      <c r="O19" s="40"/>
      <c r="P19" s="21"/>
    </row>
    <row r="20" spans="3:16" ht="15.75" customHeight="1">
      <c r="C20" s="43" t="s">
        <v>1002</v>
      </c>
      <c r="D20" s="44"/>
      <c r="E20" s="126">
        <v>1.04</v>
      </c>
      <c r="F20" s="63"/>
      <c r="G20" s="52">
        <v>37861</v>
      </c>
      <c r="H20" s="125">
        <v>38043</v>
      </c>
      <c r="I20" s="394"/>
      <c r="J20" s="46">
        <v>38043</v>
      </c>
      <c r="K20" s="40">
        <v>21742.095</v>
      </c>
      <c r="L20" s="21"/>
      <c r="M20" s="47" t="s">
        <v>928</v>
      </c>
      <c r="N20" s="27"/>
      <c r="O20" s="40">
        <f>K20+K21+K22</f>
        <v>61070.647000000004</v>
      </c>
      <c r="P20" s="21"/>
    </row>
    <row r="21" spans="3:16" ht="15.75" customHeight="1">
      <c r="C21" s="43"/>
      <c r="D21" s="44"/>
      <c r="E21" s="126">
        <v>0.93</v>
      </c>
      <c r="F21" s="63"/>
      <c r="G21" s="52">
        <v>37953</v>
      </c>
      <c r="H21" s="125"/>
      <c r="I21" s="394"/>
      <c r="J21" s="46"/>
      <c r="K21" s="40">
        <v>21971.368</v>
      </c>
      <c r="L21" s="21"/>
      <c r="M21" s="47"/>
      <c r="N21" s="27"/>
      <c r="O21" s="40"/>
      <c r="P21" s="21"/>
    </row>
    <row r="22" spans="3:16" ht="15.75" customHeight="1">
      <c r="C22" s="43"/>
      <c r="D22" s="44"/>
      <c r="E22" s="126">
        <v>0.86</v>
      </c>
      <c r="F22" s="63"/>
      <c r="G22" s="52">
        <v>38015</v>
      </c>
      <c r="H22" s="125"/>
      <c r="I22" s="394"/>
      <c r="J22" s="46"/>
      <c r="K22" s="40">
        <v>17357.184</v>
      </c>
      <c r="L22" s="21"/>
      <c r="M22" s="47"/>
      <c r="N22" s="27"/>
      <c r="O22" s="40"/>
      <c r="P22" s="21"/>
    </row>
    <row r="23" spans="3:16" ht="15.75" customHeight="1">
      <c r="C23" s="43" t="s">
        <v>908</v>
      </c>
      <c r="D23" s="44"/>
      <c r="E23" s="126">
        <v>1.04</v>
      </c>
      <c r="F23" s="63"/>
      <c r="G23" s="52">
        <v>37868</v>
      </c>
      <c r="H23" s="125">
        <v>38050</v>
      </c>
      <c r="I23" s="394"/>
      <c r="J23" s="46">
        <v>38050</v>
      </c>
      <c r="K23" s="40">
        <v>21782.659</v>
      </c>
      <c r="L23" s="21"/>
      <c r="M23" s="47" t="s">
        <v>928</v>
      </c>
      <c r="N23" s="27"/>
      <c r="O23" s="40">
        <f>K23+K24</f>
        <v>43611.748999999996</v>
      </c>
      <c r="P23" s="21"/>
    </row>
    <row r="24" spans="3:16" ht="15.75" customHeight="1">
      <c r="C24" s="43"/>
      <c r="D24" s="44"/>
      <c r="E24" s="126">
        <v>0.925</v>
      </c>
      <c r="F24" s="63"/>
      <c r="G24" s="52">
        <v>37959</v>
      </c>
      <c r="H24" s="125"/>
      <c r="I24" s="394"/>
      <c r="J24" s="46"/>
      <c r="K24" s="40">
        <v>21829.09</v>
      </c>
      <c r="L24" s="21"/>
      <c r="M24" s="47"/>
      <c r="N24" s="27"/>
      <c r="O24" s="40"/>
      <c r="P24" s="21"/>
    </row>
    <row r="25" spans="3:16" ht="15.75" customHeight="1">
      <c r="C25" s="43" t="s">
        <v>909</v>
      </c>
      <c r="D25" s="44"/>
      <c r="E25" s="126">
        <v>1.01</v>
      </c>
      <c r="F25" s="63"/>
      <c r="G25" s="52">
        <v>37875</v>
      </c>
      <c r="H25" s="125">
        <v>38057</v>
      </c>
      <c r="I25" s="394"/>
      <c r="J25" s="46">
        <v>38057</v>
      </c>
      <c r="K25" s="40">
        <v>20462.766</v>
      </c>
      <c r="L25" s="21"/>
      <c r="M25" s="47" t="s">
        <v>928</v>
      </c>
      <c r="N25" s="27"/>
      <c r="O25" s="40">
        <f>K25+K26</f>
        <v>42246.534</v>
      </c>
      <c r="P25" s="21"/>
    </row>
    <row r="26" spans="3:16" ht="15.75" customHeight="1">
      <c r="C26" s="43"/>
      <c r="D26" s="44"/>
      <c r="E26" s="126">
        <v>0.9</v>
      </c>
      <c r="F26" s="63"/>
      <c r="G26" s="52">
        <v>37966</v>
      </c>
      <c r="H26" s="125"/>
      <c r="I26" s="394"/>
      <c r="J26" s="46"/>
      <c r="K26" s="40">
        <v>21783.768</v>
      </c>
      <c r="L26" s="21"/>
      <c r="M26" s="47"/>
      <c r="N26" s="27"/>
      <c r="O26" s="40"/>
      <c r="P26" s="21"/>
    </row>
    <row r="27" spans="3:16" ht="15.75" customHeight="1">
      <c r="C27" s="43" t="s">
        <v>914</v>
      </c>
      <c r="D27" s="44"/>
      <c r="E27" s="126">
        <v>0.995</v>
      </c>
      <c r="F27" s="63"/>
      <c r="G27" s="52">
        <v>37882</v>
      </c>
      <c r="H27" s="125">
        <v>38064</v>
      </c>
      <c r="I27" s="394"/>
      <c r="J27" s="46">
        <v>38064</v>
      </c>
      <c r="K27" s="40">
        <v>19353.427</v>
      </c>
      <c r="L27" s="21"/>
      <c r="M27" s="47" t="s">
        <v>928</v>
      </c>
      <c r="N27" s="27"/>
      <c r="O27" s="40">
        <f>K27+K28</f>
        <v>39919.799</v>
      </c>
      <c r="P27" s="21"/>
    </row>
    <row r="28" spans="3:16" ht="15.75" customHeight="1">
      <c r="C28" s="43"/>
      <c r="D28" s="44"/>
      <c r="E28" s="126">
        <v>0.885</v>
      </c>
      <c r="F28" s="63"/>
      <c r="G28" s="52">
        <v>37973</v>
      </c>
      <c r="H28" s="125"/>
      <c r="I28" s="394"/>
      <c r="J28" s="46"/>
      <c r="K28" s="40">
        <v>20566.372</v>
      </c>
      <c r="L28" s="21"/>
      <c r="M28" s="47"/>
      <c r="N28" s="27"/>
      <c r="O28" s="40"/>
      <c r="P28" s="21"/>
    </row>
    <row r="29" spans="3:16" ht="15.75" customHeight="1">
      <c r="C29" s="43" t="s">
        <v>177</v>
      </c>
      <c r="D29" s="44"/>
      <c r="E29" s="126">
        <v>1.01</v>
      </c>
      <c r="F29" s="63"/>
      <c r="G29" s="52">
        <v>37889</v>
      </c>
      <c r="H29" s="125">
        <v>38071</v>
      </c>
      <c r="I29" s="394"/>
      <c r="J29" s="46">
        <v>38071</v>
      </c>
      <c r="K29" s="40">
        <v>20693.449</v>
      </c>
      <c r="L29" s="21"/>
      <c r="M29" s="47" t="s">
        <v>928</v>
      </c>
      <c r="N29" s="27"/>
      <c r="O29" s="40">
        <f>K29+K30</f>
        <v>41439.807</v>
      </c>
      <c r="P29" s="21"/>
    </row>
    <row r="30" spans="3:16" ht="15.75" customHeight="1">
      <c r="C30" s="43"/>
      <c r="D30" s="44"/>
      <c r="E30" s="126">
        <v>0.87</v>
      </c>
      <c r="F30" s="63"/>
      <c r="G30" s="52">
        <v>37981</v>
      </c>
      <c r="H30" s="125"/>
      <c r="I30" s="394"/>
      <c r="J30" s="46"/>
      <c r="K30" s="40">
        <v>20746.358</v>
      </c>
      <c r="L30" s="21"/>
      <c r="M30" s="47"/>
      <c r="N30" s="27"/>
      <c r="O30" s="40"/>
      <c r="P30" s="21"/>
    </row>
    <row r="31" spans="3:16" ht="15.75" customHeight="1">
      <c r="C31" s="43" t="s">
        <v>167</v>
      </c>
      <c r="D31" s="44"/>
      <c r="E31" s="126">
        <v>1.005</v>
      </c>
      <c r="F31" s="63"/>
      <c r="G31" s="52">
        <v>37896</v>
      </c>
      <c r="H31" s="125">
        <v>38078</v>
      </c>
      <c r="I31" s="394"/>
      <c r="J31" s="46">
        <v>38078</v>
      </c>
      <c r="K31" s="40">
        <v>21817.267</v>
      </c>
      <c r="L31" s="21"/>
      <c r="M31" s="47" t="s">
        <v>928</v>
      </c>
      <c r="N31" s="27"/>
      <c r="O31" s="40">
        <f>K31+K32</f>
        <v>43732.972</v>
      </c>
      <c r="P31" s="21"/>
    </row>
    <row r="32" spans="3:16" ht="15.75" customHeight="1">
      <c r="C32" s="43"/>
      <c r="D32" s="44"/>
      <c r="E32" s="126">
        <v>0.885</v>
      </c>
      <c r="F32" s="63"/>
      <c r="G32" s="52">
        <v>37988</v>
      </c>
      <c r="H32" s="125"/>
      <c r="I32" s="394"/>
      <c r="J32" s="46"/>
      <c r="K32" s="40">
        <v>21915.705</v>
      </c>
      <c r="L32" s="21"/>
      <c r="M32" s="47"/>
      <c r="N32" s="27"/>
      <c r="O32" s="40"/>
      <c r="P32" s="21"/>
    </row>
    <row r="33" spans="3:16" ht="15.75" customHeight="1">
      <c r="C33" s="43" t="s">
        <v>166</v>
      </c>
      <c r="D33" s="44"/>
      <c r="E33" s="126">
        <v>0.995</v>
      </c>
      <c r="F33" s="63"/>
      <c r="G33" s="52">
        <v>37903</v>
      </c>
      <c r="H33" s="125">
        <v>38085</v>
      </c>
      <c r="I33" s="394"/>
      <c r="J33" s="46">
        <v>38085</v>
      </c>
      <c r="K33" s="40">
        <v>21732.609</v>
      </c>
      <c r="L33" s="21"/>
      <c r="M33" s="47" t="s">
        <v>928</v>
      </c>
      <c r="N33" s="27"/>
      <c r="O33" s="40">
        <f>K33+K34</f>
        <v>44711.512</v>
      </c>
      <c r="P33" s="21"/>
    </row>
    <row r="34" spans="3:16" ht="15.75" customHeight="1">
      <c r="C34" s="43"/>
      <c r="D34" s="44"/>
      <c r="E34" s="126">
        <v>0.92</v>
      </c>
      <c r="F34" s="63"/>
      <c r="G34" s="52">
        <v>37994</v>
      </c>
      <c r="H34" s="125"/>
      <c r="I34" s="394"/>
      <c r="J34" s="46"/>
      <c r="K34" s="40">
        <v>22978.903</v>
      </c>
      <c r="L34" s="21"/>
      <c r="M34" s="47"/>
      <c r="N34" s="27"/>
      <c r="O34" s="40"/>
      <c r="P34" s="21"/>
    </row>
    <row r="35" spans="3:16" ht="15.75" customHeight="1">
      <c r="C35" s="43" t="s">
        <v>788</v>
      </c>
      <c r="D35" s="44"/>
      <c r="E35" s="126">
        <v>0.985</v>
      </c>
      <c r="F35" s="63"/>
      <c r="G35" s="52">
        <v>37910</v>
      </c>
      <c r="H35" s="125">
        <v>38092</v>
      </c>
      <c r="I35" s="394"/>
      <c r="J35" s="46">
        <v>38092</v>
      </c>
      <c r="K35" s="40">
        <v>22985.613</v>
      </c>
      <c r="L35" s="21"/>
      <c r="M35" s="47" t="s">
        <v>928</v>
      </c>
      <c r="N35" s="27"/>
      <c r="O35" s="40">
        <f>K35+K36</f>
        <v>46414.201</v>
      </c>
      <c r="P35" s="21"/>
    </row>
    <row r="36" spans="3:16" ht="15.75" customHeight="1">
      <c r="C36" s="43"/>
      <c r="D36" s="44"/>
      <c r="E36" s="126">
        <v>0.87</v>
      </c>
      <c r="F36" s="63"/>
      <c r="G36" s="52">
        <v>38001</v>
      </c>
      <c r="H36" s="125"/>
      <c r="I36" s="394"/>
      <c r="J36" s="46"/>
      <c r="K36" s="40">
        <v>23428.588</v>
      </c>
      <c r="L36" s="21"/>
      <c r="M36" s="47"/>
      <c r="N36" s="27"/>
      <c r="O36" s="40"/>
      <c r="P36" s="21"/>
    </row>
    <row r="37" spans="3:16" ht="15.75" customHeight="1">
      <c r="C37" s="43" t="s">
        <v>787</v>
      </c>
      <c r="D37" s="44"/>
      <c r="E37" s="126">
        <v>1.015</v>
      </c>
      <c r="F37" s="63"/>
      <c r="G37" s="52">
        <v>37917</v>
      </c>
      <c r="H37" s="125">
        <v>38099</v>
      </c>
      <c r="I37" s="394"/>
      <c r="J37" s="46">
        <v>38099</v>
      </c>
      <c r="K37" s="40">
        <v>23073.784</v>
      </c>
      <c r="L37" s="21"/>
      <c r="M37" s="47" t="s">
        <v>928</v>
      </c>
      <c r="N37" s="27"/>
      <c r="O37" s="40">
        <f>K37+K38</f>
        <v>47845.679000000004</v>
      </c>
      <c r="P37" s="21"/>
    </row>
    <row r="38" spans="3:16" ht="15.75" customHeight="1">
      <c r="C38" s="43"/>
      <c r="D38" s="44"/>
      <c r="E38" s="126">
        <v>0.875</v>
      </c>
      <c r="F38" s="63"/>
      <c r="G38" s="52">
        <v>38008</v>
      </c>
      <c r="H38" s="125"/>
      <c r="I38" s="394"/>
      <c r="J38" s="46"/>
      <c r="K38" s="40">
        <v>24771.895</v>
      </c>
      <c r="L38" s="21"/>
      <c r="M38" s="47"/>
      <c r="N38" s="27"/>
      <c r="O38" s="40"/>
      <c r="P38" s="21"/>
    </row>
    <row r="39" spans="3:16" ht="15.75" customHeight="1">
      <c r="C39" s="43" t="s">
        <v>243</v>
      </c>
      <c r="D39" s="44"/>
      <c r="E39" s="126">
        <v>1.02</v>
      </c>
      <c r="F39" s="63"/>
      <c r="G39" s="52">
        <v>37924</v>
      </c>
      <c r="H39" s="125">
        <v>38106</v>
      </c>
      <c r="I39" s="394"/>
      <c r="J39" s="46">
        <v>38106</v>
      </c>
      <c r="K39" s="40">
        <v>23000.852</v>
      </c>
      <c r="L39" s="21"/>
      <c r="M39" s="47" t="s">
        <v>928</v>
      </c>
      <c r="N39" s="27"/>
      <c r="O39" s="40">
        <f>K39+K40</f>
        <v>47880.936</v>
      </c>
      <c r="P39" s="21"/>
    </row>
    <row r="40" spans="3:16" ht="15.75" customHeight="1">
      <c r="C40" s="43"/>
      <c r="D40" s="44"/>
      <c r="E40" s="126">
        <v>0.89</v>
      </c>
      <c r="F40" s="63"/>
      <c r="G40" s="52">
        <v>38015</v>
      </c>
      <c r="H40" s="125"/>
      <c r="I40" s="394"/>
      <c r="J40" s="46"/>
      <c r="K40" s="40">
        <v>24880.084</v>
      </c>
      <c r="L40" s="21"/>
      <c r="M40" s="47"/>
      <c r="N40" s="27"/>
      <c r="O40" s="40"/>
      <c r="P40" s="21"/>
    </row>
    <row r="41" spans="3:16" ht="15.75" customHeight="1">
      <c r="C41" s="43" t="s">
        <v>989</v>
      </c>
      <c r="D41" s="44"/>
      <c r="E41" s="126">
        <v>1.025</v>
      </c>
      <c r="F41" s="63"/>
      <c r="G41" s="52">
        <v>37931</v>
      </c>
      <c r="H41" s="125">
        <v>38113</v>
      </c>
      <c r="I41" s="394"/>
      <c r="J41" s="46">
        <v>38113</v>
      </c>
      <c r="K41" s="40">
        <v>22889.37</v>
      </c>
      <c r="L41" s="21"/>
      <c r="M41" s="47" t="s">
        <v>928</v>
      </c>
      <c r="N41" s="27"/>
      <c r="O41" s="40">
        <f>K41</f>
        <v>22889.37</v>
      </c>
      <c r="P41" s="21"/>
    </row>
    <row r="42" spans="3:16" ht="15.75" customHeight="1">
      <c r="C42" s="43" t="s">
        <v>1119</v>
      </c>
      <c r="D42" s="44"/>
      <c r="E42" s="126">
        <v>1.04</v>
      </c>
      <c r="F42" s="63"/>
      <c r="G42" s="52">
        <v>37938</v>
      </c>
      <c r="H42" s="125">
        <v>38120</v>
      </c>
      <c r="I42" s="394"/>
      <c r="J42" s="46">
        <v>38120</v>
      </c>
      <c r="K42" s="40">
        <v>21602.648</v>
      </c>
      <c r="L42" s="21"/>
      <c r="M42" s="47" t="s">
        <v>928</v>
      </c>
      <c r="N42" s="27"/>
      <c r="O42" s="40">
        <f aca="true" t="shared" si="0" ref="O42:O52">K42</f>
        <v>21602.648</v>
      </c>
      <c r="P42" s="21"/>
    </row>
    <row r="43" spans="3:16" ht="15.75" customHeight="1">
      <c r="C43" s="43" t="s">
        <v>976</v>
      </c>
      <c r="D43" s="44"/>
      <c r="E43" s="126">
        <v>1.01</v>
      </c>
      <c r="F43" s="63"/>
      <c r="G43" s="52">
        <v>37945</v>
      </c>
      <c r="H43" s="125">
        <v>38127</v>
      </c>
      <c r="I43" s="394"/>
      <c r="J43" s="46">
        <v>38127</v>
      </c>
      <c r="K43" s="40">
        <v>21893.394</v>
      </c>
      <c r="L43" s="21"/>
      <c r="M43" s="47" t="s">
        <v>928</v>
      </c>
      <c r="N43" s="27"/>
      <c r="O43" s="40">
        <f t="shared" si="0"/>
        <v>21893.394</v>
      </c>
      <c r="P43" s="21"/>
    </row>
    <row r="44" spans="3:16" ht="15.75" customHeight="1">
      <c r="C44" s="43" t="s">
        <v>885</v>
      </c>
      <c r="D44" s="44"/>
      <c r="E44" s="126">
        <v>1.01</v>
      </c>
      <c r="F44" s="63"/>
      <c r="G44" s="52">
        <v>37953</v>
      </c>
      <c r="H44" s="125">
        <v>38134</v>
      </c>
      <c r="I44" s="394"/>
      <c r="J44" s="46">
        <v>38134</v>
      </c>
      <c r="K44" s="40">
        <v>21867.167</v>
      </c>
      <c r="L44" s="21"/>
      <c r="M44" s="47" t="s">
        <v>928</v>
      </c>
      <c r="N44" s="27"/>
      <c r="O44" s="40">
        <f t="shared" si="0"/>
        <v>21867.167</v>
      </c>
      <c r="P44" s="21"/>
    </row>
    <row r="45" spans="3:16" ht="15.75" customHeight="1">
      <c r="C45" s="43" t="s">
        <v>718</v>
      </c>
      <c r="D45" s="44"/>
      <c r="E45" s="126">
        <v>1.03</v>
      </c>
      <c r="F45" s="63"/>
      <c r="G45" s="52">
        <v>37959</v>
      </c>
      <c r="H45" s="125">
        <v>38141</v>
      </c>
      <c r="I45" s="394"/>
      <c r="J45" s="46">
        <v>38141</v>
      </c>
      <c r="K45" s="40">
        <v>21857.8</v>
      </c>
      <c r="L45" s="21"/>
      <c r="M45" s="47" t="s">
        <v>928</v>
      </c>
      <c r="N45" s="27"/>
      <c r="O45" s="40">
        <f t="shared" si="0"/>
        <v>21857.8</v>
      </c>
      <c r="P45" s="21"/>
    </row>
    <row r="46" spans="3:16" ht="15.75" customHeight="1">
      <c r="C46" s="43" t="s">
        <v>719</v>
      </c>
      <c r="D46" s="44"/>
      <c r="E46" s="126">
        <v>1</v>
      </c>
      <c r="F46" s="63"/>
      <c r="G46" s="52">
        <v>37966</v>
      </c>
      <c r="H46" s="125">
        <v>38148</v>
      </c>
      <c r="I46" s="394"/>
      <c r="J46" s="46">
        <v>38148</v>
      </c>
      <c r="K46" s="40">
        <v>21823.487</v>
      </c>
      <c r="L46" s="21"/>
      <c r="M46" s="47" t="s">
        <v>928</v>
      </c>
      <c r="N46" s="27"/>
      <c r="O46" s="40">
        <f t="shared" si="0"/>
        <v>21823.487</v>
      </c>
      <c r="P46" s="21"/>
    </row>
    <row r="47" spans="3:16" ht="15.75" customHeight="1">
      <c r="C47" s="43" t="s">
        <v>720</v>
      </c>
      <c r="D47" s="44"/>
      <c r="E47" s="126">
        <v>0.98</v>
      </c>
      <c r="F47" s="63"/>
      <c r="G47" s="52">
        <v>37973</v>
      </c>
      <c r="H47" s="125">
        <v>38155</v>
      </c>
      <c r="I47" s="394"/>
      <c r="J47" s="46">
        <v>38155</v>
      </c>
      <c r="K47" s="40">
        <v>19289.678</v>
      </c>
      <c r="L47" s="21"/>
      <c r="M47" s="47" t="s">
        <v>928</v>
      </c>
      <c r="N47" s="27"/>
      <c r="O47" s="40">
        <f t="shared" si="0"/>
        <v>19289.678</v>
      </c>
      <c r="P47" s="21"/>
    </row>
    <row r="48" spans="3:16" ht="15.75" customHeight="1">
      <c r="C48" s="43" t="s">
        <v>721</v>
      </c>
      <c r="D48" s="44"/>
      <c r="E48" s="126">
        <v>0.97</v>
      </c>
      <c r="F48" s="63"/>
      <c r="G48" s="52">
        <v>37981</v>
      </c>
      <c r="H48" s="125">
        <v>38162</v>
      </c>
      <c r="I48" s="394"/>
      <c r="J48" s="46">
        <v>38162</v>
      </c>
      <c r="K48" s="40">
        <v>19354.225</v>
      </c>
      <c r="L48" s="21"/>
      <c r="M48" s="47" t="s">
        <v>928</v>
      </c>
      <c r="N48" s="27"/>
      <c r="O48" s="40">
        <f t="shared" si="0"/>
        <v>19354.225</v>
      </c>
      <c r="P48" s="21"/>
    </row>
    <row r="49" spans="3:16" ht="15.75" customHeight="1">
      <c r="C49" s="43" t="s">
        <v>840</v>
      </c>
      <c r="D49" s="44"/>
      <c r="E49" s="126">
        <v>0.995</v>
      </c>
      <c r="F49" s="63"/>
      <c r="G49" s="52">
        <v>37988</v>
      </c>
      <c r="H49" s="125">
        <v>38169</v>
      </c>
      <c r="I49" s="394"/>
      <c r="J49" s="46">
        <v>38169</v>
      </c>
      <c r="K49" s="40">
        <v>20662.172</v>
      </c>
      <c r="L49" s="21"/>
      <c r="M49" s="47" t="s">
        <v>928</v>
      </c>
      <c r="N49" s="27"/>
      <c r="O49" s="40">
        <f t="shared" si="0"/>
        <v>20662.172</v>
      </c>
      <c r="P49" s="21"/>
    </row>
    <row r="50" spans="3:16" ht="15.75" customHeight="1">
      <c r="C50" s="43" t="s">
        <v>839</v>
      </c>
      <c r="D50" s="44"/>
      <c r="E50" s="126">
        <v>1.02</v>
      </c>
      <c r="F50" s="63"/>
      <c r="G50" s="52">
        <v>37994</v>
      </c>
      <c r="H50" s="125">
        <v>38176</v>
      </c>
      <c r="I50" s="394"/>
      <c r="J50" s="46">
        <v>38176</v>
      </c>
      <c r="K50" s="40">
        <v>21785.231</v>
      </c>
      <c r="L50" s="21"/>
      <c r="M50" s="47" t="s">
        <v>928</v>
      </c>
      <c r="N50" s="27"/>
      <c r="O50" s="40">
        <f>K50</f>
        <v>21785.231</v>
      </c>
      <c r="P50" s="21"/>
    </row>
    <row r="51" spans="3:16" ht="15.75" customHeight="1">
      <c r="C51" s="43" t="s">
        <v>838</v>
      </c>
      <c r="D51" s="44"/>
      <c r="E51" s="126">
        <v>0.95</v>
      </c>
      <c r="F51" s="63"/>
      <c r="G51" s="52">
        <v>38001</v>
      </c>
      <c r="H51" s="125">
        <v>38183</v>
      </c>
      <c r="I51" s="394"/>
      <c r="J51" s="46">
        <v>38183</v>
      </c>
      <c r="K51" s="40">
        <v>21989.261</v>
      </c>
      <c r="L51" s="21"/>
      <c r="M51" s="47" t="s">
        <v>928</v>
      </c>
      <c r="N51" s="27"/>
      <c r="O51" s="40">
        <f>K51</f>
        <v>21989.261</v>
      </c>
      <c r="P51" s="21"/>
    </row>
    <row r="52" spans="3:16" ht="15.75" customHeight="1">
      <c r="C52" s="43" t="s">
        <v>837</v>
      </c>
      <c r="D52" s="44"/>
      <c r="E52" s="126">
        <v>0.95</v>
      </c>
      <c r="F52" s="63"/>
      <c r="G52" s="52">
        <v>38008</v>
      </c>
      <c r="H52" s="125">
        <v>38190</v>
      </c>
      <c r="I52" s="394"/>
      <c r="J52" s="46">
        <v>38190</v>
      </c>
      <c r="K52" s="40">
        <v>22017.389</v>
      </c>
      <c r="L52" s="21"/>
      <c r="M52" s="47" t="s">
        <v>928</v>
      </c>
      <c r="N52" s="27"/>
      <c r="O52" s="40">
        <f t="shared" si="0"/>
        <v>22017.389</v>
      </c>
      <c r="P52" s="21"/>
    </row>
    <row r="53" spans="3:16" ht="15.75" customHeight="1">
      <c r="C53" s="43" t="s">
        <v>836</v>
      </c>
      <c r="D53" s="44"/>
      <c r="E53" s="126">
        <v>0.955</v>
      </c>
      <c r="F53" s="63"/>
      <c r="G53" s="52">
        <v>38015</v>
      </c>
      <c r="H53" s="125">
        <v>38197</v>
      </c>
      <c r="I53" s="394"/>
      <c r="J53" s="46">
        <v>38197</v>
      </c>
      <c r="K53" s="40">
        <v>21937.985</v>
      </c>
      <c r="L53" s="21"/>
      <c r="M53" s="47" t="s">
        <v>928</v>
      </c>
      <c r="N53" s="27"/>
      <c r="O53" s="40">
        <f>K53</f>
        <v>21937.985</v>
      </c>
      <c r="P53" s="21"/>
    </row>
    <row r="54" spans="2:16" ht="21" customHeight="1">
      <c r="B54" s="9" t="s">
        <v>133</v>
      </c>
      <c r="G54" s="16" t="s">
        <v>929</v>
      </c>
      <c r="H54" s="46" t="s">
        <v>930</v>
      </c>
      <c r="I54" s="3"/>
      <c r="J54" s="34" t="s">
        <v>931</v>
      </c>
      <c r="K54" s="56">
        <f>SUM(K11:K53)</f>
        <v>907870.9220000001</v>
      </c>
      <c r="L54" s="216"/>
      <c r="M54" s="217" t="s">
        <v>928</v>
      </c>
      <c r="N54" s="218"/>
      <c r="O54" s="56">
        <f>SUM(O11:O53)</f>
        <v>907870.9219999999</v>
      </c>
      <c r="P54" s="216"/>
    </row>
    <row r="55" spans="2:16" ht="15.75" customHeight="1">
      <c r="B55" t="s">
        <v>134</v>
      </c>
      <c r="G55" s="16" t="s">
        <v>929</v>
      </c>
      <c r="H55" s="46" t="s">
        <v>930</v>
      </c>
      <c r="I55" s="3"/>
      <c r="J55" s="34" t="s">
        <v>931</v>
      </c>
      <c r="K55" s="219" t="s">
        <v>361</v>
      </c>
      <c r="L55" s="28"/>
      <c r="M55" s="220" t="s">
        <v>928</v>
      </c>
      <c r="N55" s="221"/>
      <c r="O55" s="219" t="str">
        <f>K55</f>
        <v>*  </v>
      </c>
      <c r="P55" s="28"/>
    </row>
    <row r="56" spans="2:16" ht="15.75" customHeight="1" thickBot="1">
      <c r="B56" s="75" t="s">
        <v>135</v>
      </c>
      <c r="G56" s="16" t="s">
        <v>929</v>
      </c>
      <c r="H56" s="46" t="s">
        <v>930</v>
      </c>
      <c r="I56" s="3"/>
      <c r="J56" s="34" t="s">
        <v>931</v>
      </c>
      <c r="K56" s="222">
        <f>+K54+0.449</f>
        <v>907871.3710000002</v>
      </c>
      <c r="L56" s="223"/>
      <c r="M56" s="225" t="s">
        <v>928</v>
      </c>
      <c r="N56" s="226"/>
      <c r="O56" s="222">
        <f>+O54+0.449</f>
        <v>907871.3709999999</v>
      </c>
      <c r="P56" s="24"/>
    </row>
    <row r="57" spans="7:16" ht="15.75" customHeight="1" thickTop="1">
      <c r="G57" s="14"/>
      <c r="H57" s="45"/>
      <c r="J57" s="34"/>
      <c r="K57" s="40"/>
      <c r="L57" s="21"/>
      <c r="M57" s="40"/>
      <c r="N57" s="21"/>
      <c r="O57" s="40"/>
      <c r="P57" s="21"/>
    </row>
    <row r="58" spans="2:16" ht="21" customHeight="1">
      <c r="B58" s="9" t="s">
        <v>932</v>
      </c>
      <c r="D58" s="157" t="s">
        <v>818</v>
      </c>
      <c r="F58" s="19"/>
      <c r="G58" s="18"/>
      <c r="H58" s="18"/>
      <c r="I58" s="39"/>
      <c r="J58" s="68"/>
      <c r="K58" s="14"/>
      <c r="M58" s="14"/>
      <c r="O58" s="40"/>
      <c r="P58" s="21"/>
    </row>
    <row r="59" spans="2:16" ht="17.25" customHeight="1">
      <c r="B59" s="9" t="s">
        <v>926</v>
      </c>
      <c r="D59" s="3" t="s">
        <v>933</v>
      </c>
      <c r="E59" s="3" t="s">
        <v>934</v>
      </c>
      <c r="F59" s="3"/>
      <c r="G59" s="69"/>
      <c r="H59" s="69"/>
      <c r="I59" s="42"/>
      <c r="J59" s="68"/>
      <c r="K59" s="14"/>
      <c r="M59" s="14"/>
      <c r="O59" s="40"/>
      <c r="P59" s="21"/>
    </row>
    <row r="60" spans="3:16" ht="15.75" customHeight="1">
      <c r="C60" s="43" t="s">
        <v>833</v>
      </c>
      <c r="D60" s="48" t="s">
        <v>944</v>
      </c>
      <c r="E60" s="48" t="s">
        <v>943</v>
      </c>
      <c r="F60" s="156"/>
      <c r="G60" s="52">
        <v>34380</v>
      </c>
      <c r="H60" s="46">
        <v>38032</v>
      </c>
      <c r="I60" s="3"/>
      <c r="J60" s="34" t="s">
        <v>426</v>
      </c>
      <c r="K60" s="40">
        <v>12955.077</v>
      </c>
      <c r="L60" s="21"/>
      <c r="M60" s="47" t="s">
        <v>928</v>
      </c>
      <c r="N60" s="27"/>
      <c r="O60" s="40">
        <f aca="true" t="shared" si="1" ref="O60:O66">K60-M60</f>
        <v>12955.077</v>
      </c>
      <c r="P60" s="21"/>
    </row>
    <row r="61" spans="3:16" ht="15.75" customHeight="1">
      <c r="C61" s="43" t="s">
        <v>665</v>
      </c>
      <c r="D61" s="48" t="s">
        <v>938</v>
      </c>
      <c r="E61" s="89" t="s">
        <v>536</v>
      </c>
      <c r="F61" s="156"/>
      <c r="G61" s="52">
        <v>36207</v>
      </c>
      <c r="H61" s="46">
        <v>38032</v>
      </c>
      <c r="I61" s="3"/>
      <c r="J61" s="34" t="s">
        <v>426</v>
      </c>
      <c r="K61" s="40">
        <v>17823.228</v>
      </c>
      <c r="L61" s="21"/>
      <c r="M61" s="47" t="s">
        <v>928</v>
      </c>
      <c r="N61" s="27"/>
      <c r="O61" s="40">
        <f t="shared" si="1"/>
        <v>17823.228</v>
      </c>
      <c r="P61" s="21"/>
    </row>
    <row r="62" spans="3:16" ht="15.75" customHeight="1">
      <c r="C62" s="88" t="s">
        <v>1204</v>
      </c>
      <c r="D62" s="48" t="s">
        <v>493</v>
      </c>
      <c r="E62" s="89">
        <v>3</v>
      </c>
      <c r="F62" s="156"/>
      <c r="G62" s="52">
        <v>37315</v>
      </c>
      <c r="H62" s="46">
        <v>38046</v>
      </c>
      <c r="I62" s="3"/>
      <c r="J62" s="34" t="s">
        <v>427</v>
      </c>
      <c r="K62" s="40">
        <v>31746.067</v>
      </c>
      <c r="L62" s="21"/>
      <c r="M62" s="47" t="s">
        <v>928</v>
      </c>
      <c r="N62" s="27"/>
      <c r="O62" s="40">
        <f t="shared" si="1"/>
        <v>31746.067</v>
      </c>
      <c r="P62" s="21"/>
    </row>
    <row r="63" spans="3:16" ht="15.75" customHeight="1">
      <c r="C63" s="88" t="s">
        <v>627</v>
      </c>
      <c r="D63" s="48" t="s">
        <v>496</v>
      </c>
      <c r="E63" s="89" t="s">
        <v>1171</v>
      </c>
      <c r="F63" s="156"/>
      <c r="G63" s="52">
        <v>37347</v>
      </c>
      <c r="H63" s="46">
        <v>38077</v>
      </c>
      <c r="I63" s="3"/>
      <c r="J63" s="34" t="s">
        <v>163</v>
      </c>
      <c r="K63" s="40">
        <v>32873.508</v>
      </c>
      <c r="L63" s="21"/>
      <c r="M63" s="47" t="s">
        <v>928</v>
      </c>
      <c r="N63" s="27"/>
      <c r="O63" s="40">
        <f t="shared" si="1"/>
        <v>32873.508</v>
      </c>
      <c r="P63" s="21"/>
    </row>
    <row r="64" spans="3:16" ht="15.75" customHeight="1">
      <c r="C64" s="88" t="s">
        <v>161</v>
      </c>
      <c r="D64" s="48" t="s">
        <v>502</v>
      </c>
      <c r="E64" s="89" t="s">
        <v>1172</v>
      </c>
      <c r="F64" s="156"/>
      <c r="G64" s="52">
        <v>37376</v>
      </c>
      <c r="H64" s="46">
        <v>38107</v>
      </c>
      <c r="I64" s="3"/>
      <c r="J64" s="34" t="s">
        <v>162</v>
      </c>
      <c r="K64" s="40">
        <v>32654.971</v>
      </c>
      <c r="L64" s="21"/>
      <c r="M64" s="47" t="s">
        <v>928</v>
      </c>
      <c r="N64" s="27"/>
      <c r="O64" s="40">
        <f t="shared" si="1"/>
        <v>32654.971</v>
      </c>
      <c r="P64" s="21"/>
    </row>
    <row r="65" spans="3:16" ht="15.75" customHeight="1">
      <c r="C65" s="43" t="s">
        <v>628</v>
      </c>
      <c r="D65" s="48" t="s">
        <v>505</v>
      </c>
      <c r="E65" s="48" t="s">
        <v>535</v>
      </c>
      <c r="F65" s="156"/>
      <c r="G65" s="52">
        <v>34470</v>
      </c>
      <c r="H65" s="46">
        <v>38122</v>
      </c>
      <c r="I65" s="3"/>
      <c r="J65" s="34" t="s">
        <v>428</v>
      </c>
      <c r="K65" s="40">
        <v>14440.372</v>
      </c>
      <c r="L65" s="21"/>
      <c r="M65" s="47" t="s">
        <v>928</v>
      </c>
      <c r="N65" s="27"/>
      <c r="O65" s="40">
        <f t="shared" si="1"/>
        <v>14440.372</v>
      </c>
      <c r="P65" s="21"/>
    </row>
    <row r="66" spans="3:16" ht="15.75" customHeight="1">
      <c r="C66" s="43" t="s">
        <v>860</v>
      </c>
      <c r="D66" s="48" t="s">
        <v>499</v>
      </c>
      <c r="E66" s="154" t="s">
        <v>532</v>
      </c>
      <c r="F66" s="156"/>
      <c r="G66" s="52">
        <v>36297</v>
      </c>
      <c r="H66" s="46">
        <v>38122</v>
      </c>
      <c r="I66" s="3"/>
      <c r="J66" s="34" t="s">
        <v>428</v>
      </c>
      <c r="K66" s="40">
        <v>18925.383</v>
      </c>
      <c r="L66" s="21"/>
      <c r="M66" s="47" t="s">
        <v>928</v>
      </c>
      <c r="N66" s="27"/>
      <c r="O66" s="40">
        <f t="shared" si="1"/>
        <v>18925.383</v>
      </c>
      <c r="P66" s="21"/>
    </row>
    <row r="67" spans="3:16" ht="15.75" customHeight="1">
      <c r="C67" s="43" t="s">
        <v>1121</v>
      </c>
      <c r="D67" s="48" t="s">
        <v>508</v>
      </c>
      <c r="E67" s="89" t="s">
        <v>667</v>
      </c>
      <c r="F67" s="156"/>
      <c r="G67" s="52">
        <v>37407</v>
      </c>
      <c r="H67" s="90">
        <v>38138</v>
      </c>
      <c r="I67" s="3"/>
      <c r="J67" s="34" t="s">
        <v>424</v>
      </c>
      <c r="K67" s="40">
        <v>33297.4</v>
      </c>
      <c r="L67" s="21"/>
      <c r="M67" s="47" t="s">
        <v>928</v>
      </c>
      <c r="N67" s="27"/>
      <c r="O67" s="40">
        <f>K67+M67</f>
        <v>33297.4</v>
      </c>
      <c r="P67" s="21"/>
    </row>
    <row r="68" spans="3:16" ht="15.75" customHeight="1">
      <c r="C68" s="43" t="s">
        <v>631</v>
      </c>
      <c r="D68" s="48" t="s">
        <v>511</v>
      </c>
      <c r="E68" s="89" t="s">
        <v>634</v>
      </c>
      <c r="F68" s="156"/>
      <c r="G68" s="52">
        <v>37438</v>
      </c>
      <c r="H68" s="46">
        <v>38168</v>
      </c>
      <c r="I68" s="3"/>
      <c r="J68" s="34" t="s">
        <v>425</v>
      </c>
      <c r="K68" s="40">
        <v>34050.042</v>
      </c>
      <c r="L68" s="21"/>
      <c r="M68" s="47" t="s">
        <v>928</v>
      </c>
      <c r="N68" s="27"/>
      <c r="O68" s="40">
        <f>K68-M68</f>
        <v>34050.042</v>
      </c>
      <c r="P68" s="21"/>
    </row>
    <row r="69" spans="3:16" ht="15.75" customHeight="1">
      <c r="C69" s="43" t="s">
        <v>687</v>
      </c>
      <c r="D69" s="48" t="s">
        <v>514</v>
      </c>
      <c r="E69" s="89" t="s">
        <v>683</v>
      </c>
      <c r="F69" s="156"/>
      <c r="G69" s="52">
        <v>37468</v>
      </c>
      <c r="H69" s="46">
        <v>38199</v>
      </c>
      <c r="I69" s="3"/>
      <c r="J69" s="135" t="s">
        <v>942</v>
      </c>
      <c r="K69" s="40">
        <v>33250.01</v>
      </c>
      <c r="L69" s="21"/>
      <c r="M69" s="47" t="s">
        <v>928</v>
      </c>
      <c r="N69" s="27"/>
      <c r="O69" s="40">
        <f>K69-M69</f>
        <v>33250.01</v>
      </c>
      <c r="P69" s="21"/>
    </row>
    <row r="70" spans="3:16" ht="15.75" customHeight="1">
      <c r="C70" s="43" t="s">
        <v>1122</v>
      </c>
      <c r="D70" s="48" t="s">
        <v>516</v>
      </c>
      <c r="E70" s="48" t="s">
        <v>535</v>
      </c>
      <c r="F70" s="156"/>
      <c r="G70" s="52">
        <v>34561</v>
      </c>
      <c r="H70" s="46">
        <v>38214</v>
      </c>
      <c r="I70" s="3"/>
      <c r="J70" s="34" t="s">
        <v>492</v>
      </c>
      <c r="K70" s="40">
        <v>13346.467</v>
      </c>
      <c r="L70" s="21"/>
      <c r="M70" s="47" t="s">
        <v>928</v>
      </c>
      <c r="N70" s="27"/>
      <c r="O70" s="40">
        <f>K70-M70</f>
        <v>13346.467</v>
      </c>
      <c r="P70" s="21"/>
    </row>
    <row r="71" spans="3:16" ht="15.75" customHeight="1">
      <c r="C71" s="43" t="s">
        <v>861</v>
      </c>
      <c r="D71" s="48" t="s">
        <v>513</v>
      </c>
      <c r="E71" s="89" t="s">
        <v>512</v>
      </c>
      <c r="F71" s="156"/>
      <c r="G71" s="52">
        <v>36388</v>
      </c>
      <c r="H71" s="46">
        <v>38214</v>
      </c>
      <c r="I71" s="3"/>
      <c r="J71" s="34" t="s">
        <v>492</v>
      </c>
      <c r="K71" s="40">
        <v>18089.806</v>
      </c>
      <c r="L71" s="21"/>
      <c r="M71" s="47" t="s">
        <v>928</v>
      </c>
      <c r="N71" s="27"/>
      <c r="O71" s="40">
        <f>K71-M71</f>
        <v>18089.806</v>
      </c>
      <c r="P71" s="21"/>
    </row>
    <row r="72" spans="3:16" ht="15.75" customHeight="1">
      <c r="C72" s="43" t="s">
        <v>231</v>
      </c>
      <c r="D72" s="48" t="s">
        <v>518</v>
      </c>
      <c r="E72" s="89" t="s">
        <v>232</v>
      </c>
      <c r="F72" s="156"/>
      <c r="G72" s="52">
        <v>37502</v>
      </c>
      <c r="H72" s="90">
        <v>38230</v>
      </c>
      <c r="I72" s="3"/>
      <c r="J72" s="34" t="s">
        <v>495</v>
      </c>
      <c r="K72" s="40">
        <v>34541.397</v>
      </c>
      <c r="L72" s="21"/>
      <c r="M72" s="47" t="s">
        <v>928</v>
      </c>
      <c r="N72" s="27"/>
      <c r="O72" s="40">
        <f>K72+M72</f>
        <v>34541.397</v>
      </c>
      <c r="P72" s="21"/>
    </row>
    <row r="73" spans="3:16" ht="15.75" customHeight="1">
      <c r="C73" s="43" t="s">
        <v>234</v>
      </c>
      <c r="D73" s="48" t="s">
        <v>519</v>
      </c>
      <c r="E73" s="89" t="s">
        <v>235</v>
      </c>
      <c r="F73" s="156"/>
      <c r="G73" s="52">
        <v>37529</v>
      </c>
      <c r="H73" s="90">
        <v>38260</v>
      </c>
      <c r="I73" s="3"/>
      <c r="J73" s="34" t="s">
        <v>497</v>
      </c>
      <c r="K73" s="40">
        <v>34655.535</v>
      </c>
      <c r="L73" s="21"/>
      <c r="M73" s="47" t="s">
        <v>928</v>
      </c>
      <c r="N73" s="27"/>
      <c r="O73" s="40">
        <f>K73+M73</f>
        <v>34655.535</v>
      </c>
      <c r="P73" s="21"/>
    </row>
    <row r="74" spans="3:16" ht="15.75" customHeight="1">
      <c r="C74" s="43" t="s">
        <v>129</v>
      </c>
      <c r="D74" s="48" t="s">
        <v>522</v>
      </c>
      <c r="E74" s="89" t="s">
        <v>232</v>
      </c>
      <c r="F74" s="156"/>
      <c r="G74" s="52">
        <v>37560</v>
      </c>
      <c r="H74" s="90">
        <v>38291</v>
      </c>
      <c r="I74" s="3"/>
      <c r="J74" s="34" t="s">
        <v>504</v>
      </c>
      <c r="K74" s="40">
        <v>32439.549</v>
      </c>
      <c r="L74" s="21"/>
      <c r="M74" s="47" t="s">
        <v>928</v>
      </c>
      <c r="N74" s="27"/>
      <c r="O74" s="40">
        <f>K74+M74</f>
        <v>32439.549</v>
      </c>
      <c r="P74" s="21"/>
    </row>
    <row r="75" spans="3:16" ht="15.75" customHeight="1">
      <c r="C75" s="43" t="s">
        <v>230</v>
      </c>
      <c r="D75" s="48" t="s">
        <v>525</v>
      </c>
      <c r="E75" s="48" t="s">
        <v>526</v>
      </c>
      <c r="F75" s="156"/>
      <c r="G75" s="52">
        <v>34653</v>
      </c>
      <c r="H75" s="46">
        <v>38306</v>
      </c>
      <c r="I75" s="3"/>
      <c r="J75" s="34" t="s">
        <v>507</v>
      </c>
      <c r="K75" s="40">
        <v>14373.76</v>
      </c>
      <c r="L75" s="21"/>
      <c r="M75" s="47" t="s">
        <v>928</v>
      </c>
      <c r="N75" s="27"/>
      <c r="O75" s="40">
        <f aca="true" t="shared" si="2" ref="O75:O81">K75-M75</f>
        <v>14373.76</v>
      </c>
      <c r="P75" s="21"/>
    </row>
    <row r="76" spans="3:16" ht="15.75" customHeight="1">
      <c r="C76" s="43" t="s">
        <v>862</v>
      </c>
      <c r="D76" s="48" t="s">
        <v>521</v>
      </c>
      <c r="E76" s="48" t="s">
        <v>943</v>
      </c>
      <c r="F76" s="156"/>
      <c r="G76" s="52">
        <v>36479</v>
      </c>
      <c r="H76" s="46">
        <v>38306</v>
      </c>
      <c r="I76" s="3"/>
      <c r="J76" s="34" t="s">
        <v>507</v>
      </c>
      <c r="K76" s="40">
        <v>32658.145</v>
      </c>
      <c r="L76" s="21"/>
      <c r="M76" s="47" t="s">
        <v>928</v>
      </c>
      <c r="N76" s="27"/>
      <c r="O76" s="40">
        <f t="shared" si="2"/>
        <v>32658.145</v>
      </c>
      <c r="P76" s="21"/>
    </row>
    <row r="77" spans="3:16" ht="15.75" customHeight="1">
      <c r="C77" s="43" t="s">
        <v>556</v>
      </c>
      <c r="D77" s="48" t="s">
        <v>527</v>
      </c>
      <c r="E77" s="48">
        <v>2</v>
      </c>
      <c r="F77" s="156"/>
      <c r="G77" s="52">
        <v>37592</v>
      </c>
      <c r="H77" s="46">
        <v>38321</v>
      </c>
      <c r="I77" s="3"/>
      <c r="J77" s="34" t="s">
        <v>510</v>
      </c>
      <c r="K77" s="40">
        <v>32871.32</v>
      </c>
      <c r="L77" s="21"/>
      <c r="M77" s="47" t="s">
        <v>928</v>
      </c>
      <c r="N77" s="27"/>
      <c r="O77" s="40">
        <f t="shared" si="2"/>
        <v>32871.32</v>
      </c>
      <c r="P77" s="21"/>
    </row>
    <row r="78" spans="3:16" ht="15.75" customHeight="1">
      <c r="C78" s="43" t="s">
        <v>557</v>
      </c>
      <c r="D78" s="48" t="s">
        <v>935</v>
      </c>
      <c r="E78" s="143" t="s">
        <v>559</v>
      </c>
      <c r="F78" s="156"/>
      <c r="G78" s="52">
        <v>37621</v>
      </c>
      <c r="H78" s="46">
        <v>38352</v>
      </c>
      <c r="I78" s="3"/>
      <c r="J78" s="135" t="s">
        <v>936</v>
      </c>
      <c r="K78" s="40">
        <v>33203.363</v>
      </c>
      <c r="L78" s="21"/>
      <c r="M78" s="47" t="s">
        <v>928</v>
      </c>
      <c r="N78" s="27"/>
      <c r="O78" s="40">
        <f t="shared" si="2"/>
        <v>33203.363</v>
      </c>
      <c r="P78" s="21"/>
    </row>
    <row r="79" spans="3:16" ht="15.75" customHeight="1">
      <c r="C79" s="43" t="s">
        <v>85</v>
      </c>
      <c r="D79" s="48" t="s">
        <v>513</v>
      </c>
      <c r="E79" s="143" t="s">
        <v>576</v>
      </c>
      <c r="F79" s="156"/>
      <c r="G79" s="52">
        <v>37652</v>
      </c>
      <c r="H79" s="46">
        <v>38383</v>
      </c>
      <c r="I79" s="3"/>
      <c r="J79" s="34" t="s">
        <v>971</v>
      </c>
      <c r="K79" s="40">
        <v>33837.124</v>
      </c>
      <c r="L79" s="21"/>
      <c r="M79" s="47" t="s">
        <v>928</v>
      </c>
      <c r="N79" s="27"/>
      <c r="O79" s="40">
        <f t="shared" si="2"/>
        <v>33837.124</v>
      </c>
      <c r="P79" s="21"/>
    </row>
    <row r="80" spans="3:16" ht="15.75" customHeight="1">
      <c r="C80" s="43" t="s">
        <v>558</v>
      </c>
      <c r="D80" s="48" t="s">
        <v>944</v>
      </c>
      <c r="E80" s="48" t="s">
        <v>523</v>
      </c>
      <c r="F80" s="156"/>
      <c r="G80" s="52">
        <v>34745</v>
      </c>
      <c r="H80" s="46">
        <v>38398</v>
      </c>
      <c r="I80" s="3"/>
      <c r="J80" s="34" t="s">
        <v>426</v>
      </c>
      <c r="K80" s="40">
        <v>13834.754</v>
      </c>
      <c r="L80" s="21"/>
      <c r="M80" s="47" t="s">
        <v>928</v>
      </c>
      <c r="N80" s="27"/>
      <c r="O80" s="40">
        <f t="shared" si="2"/>
        <v>13834.754</v>
      </c>
      <c r="P80" s="21"/>
    </row>
    <row r="81" spans="3:16" ht="15.75" customHeight="1">
      <c r="C81" s="43" t="s">
        <v>961</v>
      </c>
      <c r="D81" s="48" t="s">
        <v>521</v>
      </c>
      <c r="E81" s="143" t="s">
        <v>962</v>
      </c>
      <c r="F81" s="156"/>
      <c r="G81" s="52">
        <v>37680</v>
      </c>
      <c r="H81" s="46">
        <v>38411</v>
      </c>
      <c r="I81" s="3"/>
      <c r="J81" s="34" t="s">
        <v>429</v>
      </c>
      <c r="K81" s="40">
        <v>35331.909</v>
      </c>
      <c r="L81" s="21"/>
      <c r="M81" s="47" t="s">
        <v>928</v>
      </c>
      <c r="N81" s="27"/>
      <c r="O81" s="40">
        <f t="shared" si="2"/>
        <v>35331.909</v>
      </c>
      <c r="P81" s="21"/>
    </row>
    <row r="82" spans="3:16" ht="15.75" customHeight="1">
      <c r="C82" s="43" t="s">
        <v>804</v>
      </c>
      <c r="D82" s="48" t="s">
        <v>941</v>
      </c>
      <c r="E82" s="143" t="s">
        <v>576</v>
      </c>
      <c r="F82" s="156"/>
      <c r="G82" s="52">
        <v>37711</v>
      </c>
      <c r="H82" s="46">
        <v>38442</v>
      </c>
      <c r="I82" s="3"/>
      <c r="J82" s="34" t="s">
        <v>163</v>
      </c>
      <c r="K82" s="40">
        <v>35211.162</v>
      </c>
      <c r="L82" s="21"/>
      <c r="M82" s="47" t="s">
        <v>928</v>
      </c>
      <c r="N82" s="27"/>
      <c r="O82" s="40">
        <f>K82</f>
        <v>35211.162</v>
      </c>
      <c r="P82" s="21"/>
    </row>
    <row r="83" spans="3:16" ht="15.75" customHeight="1">
      <c r="C83" s="43" t="s">
        <v>566</v>
      </c>
      <c r="D83" s="48" t="s">
        <v>493</v>
      </c>
      <c r="E83" s="143" t="s">
        <v>576</v>
      </c>
      <c r="F83" s="156"/>
      <c r="G83" s="52">
        <v>37741</v>
      </c>
      <c r="H83" s="46">
        <v>38472</v>
      </c>
      <c r="I83" s="3"/>
      <c r="J83" s="34" t="s">
        <v>162</v>
      </c>
      <c r="K83" s="40">
        <v>34295.459</v>
      </c>
      <c r="L83" s="21"/>
      <c r="M83" s="47" t="s">
        <v>928</v>
      </c>
      <c r="N83" s="27"/>
      <c r="O83" s="40">
        <f>K83</f>
        <v>34295.459</v>
      </c>
      <c r="P83" s="21"/>
    </row>
    <row r="84" spans="3:16" ht="15.75" customHeight="1">
      <c r="C84" s="43" t="s">
        <v>1117</v>
      </c>
      <c r="D84" s="48" t="s">
        <v>505</v>
      </c>
      <c r="E84" s="48" t="s">
        <v>503</v>
      </c>
      <c r="F84" s="156"/>
      <c r="G84" s="52">
        <v>34834</v>
      </c>
      <c r="H84" s="46">
        <v>38487</v>
      </c>
      <c r="I84" s="3"/>
      <c r="J84" s="34" t="s">
        <v>428</v>
      </c>
      <c r="K84" s="40">
        <v>14739.504</v>
      </c>
      <c r="L84" s="21"/>
      <c r="M84" s="47" t="s">
        <v>928</v>
      </c>
      <c r="N84" s="27"/>
      <c r="O84" s="40">
        <f>K84-M84</f>
        <v>14739.504</v>
      </c>
      <c r="P84" s="21"/>
    </row>
    <row r="85" spans="1:16" ht="15.75" customHeight="1" thickBot="1">
      <c r="A85" s="100"/>
      <c r="B85" s="100"/>
      <c r="C85" s="172"/>
      <c r="D85" s="173"/>
      <c r="E85" s="173"/>
      <c r="F85" s="174"/>
      <c r="G85" s="136"/>
      <c r="H85" s="137"/>
      <c r="I85" s="130"/>
      <c r="J85" s="173"/>
      <c r="K85" s="103"/>
      <c r="L85" s="103"/>
      <c r="M85" s="104"/>
      <c r="N85" s="104"/>
      <c r="O85" s="103"/>
      <c r="P85" s="103"/>
    </row>
    <row r="86" spans="1:16" ht="16.5" thickTop="1">
      <c r="A86" s="94"/>
      <c r="B86" s="2" t="s">
        <v>827</v>
      </c>
      <c r="C86" s="2"/>
      <c r="D86" s="3"/>
      <c r="E86" s="3"/>
      <c r="F86" s="3"/>
      <c r="G86" s="3"/>
      <c r="H86" s="3"/>
      <c r="I86" s="29"/>
      <c r="J86" s="3"/>
      <c r="K86" s="3"/>
      <c r="L86" s="3"/>
      <c r="M86" s="3"/>
      <c r="N86" s="3"/>
      <c r="O86" s="3"/>
      <c r="P86" s="95">
        <v>3</v>
      </c>
    </row>
    <row r="87" spans="1:16" ht="10.5" customHeight="1" thickBot="1">
      <c r="A87" s="2"/>
      <c r="B87" s="2"/>
      <c r="C87" s="2"/>
      <c r="D87" s="3"/>
      <c r="E87" s="3"/>
      <c r="F87" s="3"/>
      <c r="G87" s="3"/>
      <c r="H87" s="3"/>
      <c r="I87" s="29"/>
      <c r="K87" s="3"/>
      <c r="L87" s="3"/>
      <c r="M87" s="3"/>
      <c r="N87" s="3"/>
      <c r="O87" s="3"/>
      <c r="P87" s="2"/>
    </row>
    <row r="88" spans="1:16" ht="15.75" customHeight="1" thickTop="1">
      <c r="A88" s="32"/>
      <c r="B88" s="32"/>
      <c r="C88" s="32"/>
      <c r="D88" s="32"/>
      <c r="E88" s="32"/>
      <c r="F88" s="32"/>
      <c r="G88" s="26"/>
      <c r="H88" s="26"/>
      <c r="I88" s="33"/>
      <c r="J88" s="67"/>
      <c r="K88" s="26"/>
      <c r="L88" s="32"/>
      <c r="M88" s="32"/>
      <c r="N88" s="32"/>
      <c r="O88" s="32"/>
      <c r="P88" s="32"/>
    </row>
    <row r="89" spans="3:16" ht="15.75" customHeight="1">
      <c r="C89" s="48"/>
      <c r="G89" s="16" t="s">
        <v>448</v>
      </c>
      <c r="H89" s="16" t="s">
        <v>449</v>
      </c>
      <c r="I89" s="29"/>
      <c r="J89" s="34" t="s">
        <v>450</v>
      </c>
      <c r="K89" s="16" t="s">
        <v>451</v>
      </c>
      <c r="L89" s="3"/>
      <c r="M89" s="3"/>
      <c r="N89" s="3"/>
      <c r="O89" s="3"/>
      <c r="P89" s="3"/>
    </row>
    <row r="90" spans="1:11" ht="15.75" customHeight="1">
      <c r="A90" s="3" t="s">
        <v>452</v>
      </c>
      <c r="B90" s="3"/>
      <c r="C90" s="3"/>
      <c r="D90" s="3"/>
      <c r="E90" s="3"/>
      <c r="F90" s="3"/>
      <c r="G90" s="16" t="s">
        <v>453</v>
      </c>
      <c r="H90" s="16" t="s">
        <v>454</v>
      </c>
      <c r="I90" s="29"/>
      <c r="J90" s="34" t="s">
        <v>455</v>
      </c>
      <c r="K90" s="14"/>
    </row>
    <row r="91" spans="1:16" ht="16.5" customHeight="1">
      <c r="A91" s="15"/>
      <c r="B91" s="15"/>
      <c r="C91" s="15"/>
      <c r="D91" s="15"/>
      <c r="E91" s="15"/>
      <c r="F91" s="15"/>
      <c r="G91" s="35"/>
      <c r="H91" s="35"/>
      <c r="I91" s="36"/>
      <c r="J91" s="61"/>
      <c r="K91" s="37" t="s">
        <v>456</v>
      </c>
      <c r="L91" s="38"/>
      <c r="M91" s="37" t="s">
        <v>923</v>
      </c>
      <c r="N91" s="38"/>
      <c r="O91" s="37" t="s">
        <v>16</v>
      </c>
      <c r="P91" s="38"/>
    </row>
    <row r="92" spans="7:15" ht="15.75" customHeight="1">
      <c r="G92" s="14"/>
      <c r="H92" s="14"/>
      <c r="I92" s="31"/>
      <c r="J92" s="34"/>
      <c r="K92" s="14"/>
      <c r="M92" s="14"/>
      <c r="O92" s="14"/>
    </row>
    <row r="93" spans="1:16" ht="18" customHeight="1">
      <c r="A93" s="60" t="s">
        <v>419</v>
      </c>
      <c r="B93" s="60"/>
      <c r="G93" s="18"/>
      <c r="H93" s="18"/>
      <c r="I93" s="39"/>
      <c r="J93" s="68"/>
      <c r="K93" s="14"/>
      <c r="M93" s="14"/>
      <c r="O93" s="40"/>
      <c r="P93" s="21"/>
    </row>
    <row r="94" spans="2:16" ht="17.25" customHeight="1">
      <c r="B94" s="9" t="s">
        <v>926</v>
      </c>
      <c r="D94" s="3" t="s">
        <v>933</v>
      </c>
      <c r="E94" s="3" t="s">
        <v>934</v>
      </c>
      <c r="F94" s="3"/>
      <c r="G94" s="70"/>
      <c r="I94" s="42"/>
      <c r="J94" s="68"/>
      <c r="K94" s="14"/>
      <c r="M94" s="14"/>
      <c r="O94" s="40"/>
      <c r="P94" s="21"/>
    </row>
    <row r="95" spans="3:16" ht="15.75" customHeight="1">
      <c r="C95" s="43" t="s">
        <v>843</v>
      </c>
      <c r="D95" s="48" t="s">
        <v>938</v>
      </c>
      <c r="E95" s="89" t="s">
        <v>509</v>
      </c>
      <c r="F95" s="156"/>
      <c r="G95" s="52">
        <v>36661</v>
      </c>
      <c r="H95" s="46">
        <v>38487</v>
      </c>
      <c r="I95" s="3"/>
      <c r="J95" s="34" t="s">
        <v>428</v>
      </c>
      <c r="K95" s="40">
        <v>28562.37</v>
      </c>
      <c r="L95" s="21"/>
      <c r="M95" s="47" t="s">
        <v>928</v>
      </c>
      <c r="N95" s="27"/>
      <c r="O95" s="40">
        <f aca="true" t="shared" si="3" ref="O95:O107">K95-M95</f>
        <v>28562.37</v>
      </c>
      <c r="P95" s="21"/>
    </row>
    <row r="96" spans="3:16" ht="15.75" customHeight="1">
      <c r="C96" s="43" t="s">
        <v>974</v>
      </c>
      <c r="D96" s="48" t="s">
        <v>496</v>
      </c>
      <c r="E96" s="143" t="s">
        <v>420</v>
      </c>
      <c r="F96" s="156"/>
      <c r="G96" s="52">
        <v>37774</v>
      </c>
      <c r="H96" s="46">
        <v>38503</v>
      </c>
      <c r="I96" s="3"/>
      <c r="J96" s="34" t="s">
        <v>424</v>
      </c>
      <c r="K96" s="40">
        <v>31020.836</v>
      </c>
      <c r="L96" s="21"/>
      <c r="M96" s="47" t="s">
        <v>928</v>
      </c>
      <c r="N96" s="27"/>
      <c r="O96" s="40">
        <f t="shared" si="3"/>
        <v>31020.836</v>
      </c>
      <c r="P96" s="21"/>
    </row>
    <row r="97" spans="3:16" ht="15.75" customHeight="1">
      <c r="C97" s="43" t="s">
        <v>973</v>
      </c>
      <c r="D97" s="48" t="s">
        <v>502</v>
      </c>
      <c r="E97" s="143" t="s">
        <v>1206</v>
      </c>
      <c r="F97" s="156"/>
      <c r="G97" s="52">
        <v>37802</v>
      </c>
      <c r="H97" s="46">
        <v>38533</v>
      </c>
      <c r="I97" s="3"/>
      <c r="J97" s="34" t="s">
        <v>425</v>
      </c>
      <c r="K97" s="40">
        <v>31701.455</v>
      </c>
      <c r="L97" s="21"/>
      <c r="M97" s="47" t="s">
        <v>928</v>
      </c>
      <c r="N97" s="27"/>
      <c r="O97" s="40">
        <f>K97-M97</f>
        <v>31701.455</v>
      </c>
      <c r="P97" s="21"/>
    </row>
    <row r="98" spans="3:16" ht="15.75" customHeight="1">
      <c r="C98" s="43" t="s">
        <v>175</v>
      </c>
      <c r="D98" s="48" t="s">
        <v>508</v>
      </c>
      <c r="E98" s="143" t="s">
        <v>962</v>
      </c>
      <c r="F98" s="156"/>
      <c r="G98" s="52">
        <v>37833</v>
      </c>
      <c r="H98" s="46">
        <v>38564</v>
      </c>
      <c r="I98" s="3"/>
      <c r="J98" s="34" t="s">
        <v>942</v>
      </c>
      <c r="K98" s="40">
        <v>29997.026</v>
      </c>
      <c r="L98" s="21"/>
      <c r="M98" s="47" t="s">
        <v>928</v>
      </c>
      <c r="N98" s="27"/>
      <c r="O98" s="40">
        <f>K98-M98</f>
        <v>29997.026</v>
      </c>
      <c r="P98" s="21"/>
    </row>
    <row r="99" spans="3:16" ht="15.75" customHeight="1">
      <c r="C99" s="43" t="s">
        <v>421</v>
      </c>
      <c r="D99" s="48" t="s">
        <v>516</v>
      </c>
      <c r="E99" s="48" t="s">
        <v>503</v>
      </c>
      <c r="F99" s="156"/>
      <c r="G99" s="52">
        <v>34926</v>
      </c>
      <c r="H99" s="46">
        <v>38579</v>
      </c>
      <c r="I99" s="3"/>
      <c r="J99" s="34" t="s">
        <v>492</v>
      </c>
      <c r="K99" s="40">
        <v>15002.58</v>
      </c>
      <c r="L99" s="21"/>
      <c r="M99" s="47" t="s">
        <v>928</v>
      </c>
      <c r="N99" s="27"/>
      <c r="O99" s="40">
        <f t="shared" si="3"/>
        <v>15002.58</v>
      </c>
      <c r="P99" s="21"/>
    </row>
    <row r="100" spans="3:16" ht="15.75" customHeight="1">
      <c r="C100" s="43" t="s">
        <v>906</v>
      </c>
      <c r="D100" s="48" t="s">
        <v>511</v>
      </c>
      <c r="E100" s="89">
        <v>2</v>
      </c>
      <c r="F100" s="156"/>
      <c r="G100" s="52">
        <v>37866</v>
      </c>
      <c r="H100" s="46">
        <v>38595</v>
      </c>
      <c r="I100" s="3"/>
      <c r="J100" s="34" t="s">
        <v>907</v>
      </c>
      <c r="K100" s="40">
        <v>30592.178</v>
      </c>
      <c r="L100" s="21"/>
      <c r="M100" s="47" t="s">
        <v>928</v>
      </c>
      <c r="N100" s="27"/>
      <c r="O100" s="40">
        <f>K100-M100</f>
        <v>30592.178</v>
      </c>
      <c r="P100" s="21"/>
    </row>
    <row r="101" spans="3:16" ht="15.75" customHeight="1">
      <c r="C101" s="43" t="s">
        <v>563</v>
      </c>
      <c r="D101" s="48" t="s">
        <v>514</v>
      </c>
      <c r="E101" s="89" t="s">
        <v>576</v>
      </c>
      <c r="F101" s="156"/>
      <c r="G101" s="52">
        <v>37894</v>
      </c>
      <c r="H101" s="46">
        <v>38625</v>
      </c>
      <c r="I101" s="3"/>
      <c r="J101" s="34" t="s">
        <v>497</v>
      </c>
      <c r="K101" s="40">
        <v>31538.969</v>
      </c>
      <c r="L101" s="21"/>
      <c r="M101" s="47" t="s">
        <v>928</v>
      </c>
      <c r="N101" s="27"/>
      <c r="O101" s="40">
        <f>K101-M101</f>
        <v>31538.969</v>
      </c>
      <c r="P101" s="21"/>
    </row>
    <row r="102" spans="3:16" ht="15.75" customHeight="1">
      <c r="C102" s="43" t="s">
        <v>622</v>
      </c>
      <c r="D102" s="48" t="s">
        <v>518</v>
      </c>
      <c r="E102" s="89" t="s">
        <v>576</v>
      </c>
      <c r="F102" s="156"/>
      <c r="G102" s="52">
        <v>37925</v>
      </c>
      <c r="H102" s="46">
        <v>38656</v>
      </c>
      <c r="I102" s="3"/>
      <c r="J102" s="34" t="s">
        <v>504</v>
      </c>
      <c r="K102" s="40">
        <v>32368.42</v>
      </c>
      <c r="L102" s="21"/>
      <c r="M102" s="47" t="s">
        <v>928</v>
      </c>
      <c r="N102" s="27"/>
      <c r="O102" s="40">
        <f>K102-M102</f>
        <v>32368.42</v>
      </c>
      <c r="P102" s="21"/>
    </row>
    <row r="103" spans="3:16" ht="15.75" customHeight="1">
      <c r="C103" s="43" t="s">
        <v>905</v>
      </c>
      <c r="D103" s="48" t="s">
        <v>525</v>
      </c>
      <c r="E103" s="48" t="s">
        <v>943</v>
      </c>
      <c r="F103" s="156"/>
      <c r="G103" s="52">
        <v>35027</v>
      </c>
      <c r="H103" s="46">
        <v>38671</v>
      </c>
      <c r="I103" s="3"/>
      <c r="J103" s="34" t="s">
        <v>507</v>
      </c>
      <c r="K103" s="40">
        <v>15209.92</v>
      </c>
      <c r="L103" s="21"/>
      <c r="M103" s="47" t="s">
        <v>928</v>
      </c>
      <c r="N103" s="27"/>
      <c r="O103" s="40">
        <f t="shared" si="3"/>
        <v>15209.92</v>
      </c>
      <c r="P103" s="21"/>
    </row>
    <row r="104" spans="3:16" ht="15.75" customHeight="1">
      <c r="C104" s="43" t="s">
        <v>864</v>
      </c>
      <c r="D104" s="48" t="s">
        <v>499</v>
      </c>
      <c r="E104" s="89" t="s">
        <v>937</v>
      </c>
      <c r="F104" s="156"/>
      <c r="G104" s="52">
        <v>36845</v>
      </c>
      <c r="H104" s="46">
        <v>38671</v>
      </c>
      <c r="I104" s="3"/>
      <c r="J104" s="34" t="s">
        <v>507</v>
      </c>
      <c r="K104" s="40">
        <v>28062.797</v>
      </c>
      <c r="L104" s="21"/>
      <c r="M104" s="47" t="s">
        <v>928</v>
      </c>
      <c r="N104" s="27"/>
      <c r="O104" s="40">
        <f t="shared" si="3"/>
        <v>28062.797</v>
      </c>
      <c r="P104" s="21"/>
    </row>
    <row r="105" spans="3:16" ht="15.75" customHeight="1">
      <c r="C105" s="88" t="s">
        <v>723</v>
      </c>
      <c r="D105" s="48" t="s">
        <v>519</v>
      </c>
      <c r="E105" s="143" t="s">
        <v>235</v>
      </c>
      <c r="F105" s="156"/>
      <c r="G105" s="52">
        <v>37956</v>
      </c>
      <c r="H105" s="46">
        <v>38686</v>
      </c>
      <c r="I105" s="3"/>
      <c r="J105" s="34" t="s">
        <v>510</v>
      </c>
      <c r="K105" s="40">
        <v>32203.806</v>
      </c>
      <c r="L105" s="21"/>
      <c r="M105" s="47" t="s">
        <v>928</v>
      </c>
      <c r="N105" s="27"/>
      <c r="O105" s="40">
        <f>K105-M105</f>
        <v>32203.806</v>
      </c>
      <c r="P105" s="21"/>
    </row>
    <row r="106" spans="3:16" ht="15.75" customHeight="1">
      <c r="C106" s="43" t="s">
        <v>725</v>
      </c>
      <c r="D106" s="48" t="s">
        <v>522</v>
      </c>
      <c r="E106" s="143" t="s">
        <v>235</v>
      </c>
      <c r="F106" s="156"/>
      <c r="G106" s="52">
        <v>37986</v>
      </c>
      <c r="H106" s="46">
        <v>38717</v>
      </c>
      <c r="I106" s="3"/>
      <c r="J106" s="34" t="s">
        <v>936</v>
      </c>
      <c r="K106" s="40">
        <v>33996.27</v>
      </c>
      <c r="L106" s="21"/>
      <c r="M106" s="47" t="s">
        <v>928</v>
      </c>
      <c r="N106" s="27"/>
      <c r="O106" s="40">
        <f>K106-M106</f>
        <v>33996.27</v>
      </c>
      <c r="P106" s="21"/>
    </row>
    <row r="107" spans="3:16" ht="15.75" customHeight="1">
      <c r="C107" s="88" t="s">
        <v>722</v>
      </c>
      <c r="D107" s="48" t="s">
        <v>944</v>
      </c>
      <c r="E107" s="48" t="s">
        <v>524</v>
      </c>
      <c r="F107" s="156"/>
      <c r="G107" s="52">
        <v>35110</v>
      </c>
      <c r="H107" s="46">
        <v>38763</v>
      </c>
      <c r="I107" s="3"/>
      <c r="J107" s="34" t="s">
        <v>492</v>
      </c>
      <c r="K107" s="40">
        <v>15513.587</v>
      </c>
      <c r="L107" s="21"/>
      <c r="M107" s="47" t="s">
        <v>928</v>
      </c>
      <c r="N107" s="27"/>
      <c r="O107" s="40">
        <f t="shared" si="3"/>
        <v>15513.587</v>
      </c>
      <c r="P107" s="21"/>
    </row>
    <row r="108" spans="3:16" ht="15.75" customHeight="1">
      <c r="C108" s="43" t="s">
        <v>865</v>
      </c>
      <c r="D108" s="48" t="s">
        <v>505</v>
      </c>
      <c r="E108" s="48" t="s">
        <v>515</v>
      </c>
      <c r="F108" s="156"/>
      <c r="G108" s="52">
        <v>35200</v>
      </c>
      <c r="H108" s="46">
        <v>38852</v>
      </c>
      <c r="I108" s="3"/>
      <c r="J108" s="34" t="s">
        <v>428</v>
      </c>
      <c r="K108" s="40">
        <v>16015.475</v>
      </c>
      <c r="L108" s="21"/>
      <c r="M108" s="47" t="s">
        <v>928</v>
      </c>
      <c r="N108" s="27"/>
      <c r="O108" s="40">
        <f>K108+M108</f>
        <v>16015.475</v>
      </c>
      <c r="P108" s="21"/>
    </row>
    <row r="109" spans="3:16" ht="15.75" customHeight="1">
      <c r="C109" s="43" t="s">
        <v>980</v>
      </c>
      <c r="D109" s="48" t="s">
        <v>938</v>
      </c>
      <c r="E109" s="89" t="s">
        <v>1212</v>
      </c>
      <c r="F109" s="156"/>
      <c r="G109" s="52">
        <v>37026</v>
      </c>
      <c r="H109" s="46">
        <v>38852</v>
      </c>
      <c r="I109" s="3"/>
      <c r="J109" s="34" t="s">
        <v>428</v>
      </c>
      <c r="K109" s="40">
        <v>27797.852</v>
      </c>
      <c r="L109" s="21"/>
      <c r="M109" s="47" t="s">
        <v>928</v>
      </c>
      <c r="N109" s="27"/>
      <c r="O109" s="40">
        <f>K109+M109</f>
        <v>27797.852</v>
      </c>
      <c r="P109" s="21"/>
    </row>
    <row r="110" spans="3:16" ht="15.75" customHeight="1">
      <c r="C110" s="43" t="s">
        <v>636</v>
      </c>
      <c r="D110" s="48" t="s">
        <v>513</v>
      </c>
      <c r="E110" s="89">
        <v>2</v>
      </c>
      <c r="F110" s="156"/>
      <c r="G110" s="52">
        <v>37756</v>
      </c>
      <c r="H110" s="46">
        <v>38852</v>
      </c>
      <c r="I110" s="3"/>
      <c r="J110" s="34" t="s">
        <v>428</v>
      </c>
      <c r="K110" s="40">
        <v>22391.759</v>
      </c>
      <c r="L110" s="21"/>
      <c r="M110" s="47" t="s">
        <v>928</v>
      </c>
      <c r="N110" s="27"/>
      <c r="O110" s="40">
        <f>K110+M110</f>
        <v>22391.759</v>
      </c>
      <c r="P110" s="21"/>
    </row>
    <row r="111" spans="3:16" ht="15.75" customHeight="1">
      <c r="C111" s="43" t="s">
        <v>637</v>
      </c>
      <c r="D111" s="48" t="s">
        <v>516</v>
      </c>
      <c r="E111" s="48" t="s">
        <v>500</v>
      </c>
      <c r="F111" s="156"/>
      <c r="G111" s="52">
        <v>35261</v>
      </c>
      <c r="H111" s="46">
        <v>38913</v>
      </c>
      <c r="I111" s="3"/>
      <c r="J111" s="34" t="s">
        <v>940</v>
      </c>
      <c r="K111" s="40">
        <v>22740.446</v>
      </c>
      <c r="L111" s="21"/>
      <c r="M111" s="47" t="s">
        <v>928</v>
      </c>
      <c r="N111" s="27"/>
      <c r="O111" s="40">
        <f>K111+M111</f>
        <v>22740.446</v>
      </c>
      <c r="P111" s="21"/>
    </row>
    <row r="112" spans="3:16" ht="15.75" customHeight="1">
      <c r="C112" s="88" t="s">
        <v>1004</v>
      </c>
      <c r="D112" s="48" t="s">
        <v>521</v>
      </c>
      <c r="E112" s="89" t="s">
        <v>1005</v>
      </c>
      <c r="F112" s="156"/>
      <c r="G112" s="52">
        <v>37848</v>
      </c>
      <c r="H112" s="46">
        <v>38944</v>
      </c>
      <c r="I112" s="3"/>
      <c r="J112" s="34" t="s">
        <v>492</v>
      </c>
      <c r="K112" s="40">
        <v>27909.346</v>
      </c>
      <c r="L112" s="21"/>
      <c r="M112" s="47" t="s">
        <v>928</v>
      </c>
      <c r="N112" s="27"/>
      <c r="O112" s="40">
        <f>K112</f>
        <v>27909.346</v>
      </c>
      <c r="P112" s="21"/>
    </row>
    <row r="113" spans="3:16" ht="15.75" customHeight="1">
      <c r="C113" s="43" t="s">
        <v>992</v>
      </c>
      <c r="D113" s="48" t="s">
        <v>525</v>
      </c>
      <c r="E113" s="48" t="s">
        <v>503</v>
      </c>
      <c r="F113" s="156"/>
      <c r="G113" s="52">
        <v>35353</v>
      </c>
      <c r="H113" s="90">
        <v>39005</v>
      </c>
      <c r="I113" s="3"/>
      <c r="J113" s="34" t="s">
        <v>501</v>
      </c>
      <c r="K113" s="40">
        <v>22459.675</v>
      </c>
      <c r="L113" s="21"/>
      <c r="M113" s="47" t="s">
        <v>928</v>
      </c>
      <c r="N113" s="27"/>
      <c r="O113" s="40">
        <f aca="true" t="shared" si="4" ref="O113:O125">K113+M113</f>
        <v>22459.675</v>
      </c>
      <c r="P113" s="21"/>
    </row>
    <row r="114" spans="3:16" ht="15.75" customHeight="1">
      <c r="C114" s="43" t="s">
        <v>357</v>
      </c>
      <c r="D114" s="48" t="s">
        <v>499</v>
      </c>
      <c r="E114" s="143" t="s">
        <v>1177</v>
      </c>
      <c r="F114" s="156"/>
      <c r="G114" s="52">
        <v>37210</v>
      </c>
      <c r="H114" s="90">
        <v>39036</v>
      </c>
      <c r="I114" s="3"/>
      <c r="J114" s="34" t="s">
        <v>507</v>
      </c>
      <c r="K114" s="40">
        <v>35380.129</v>
      </c>
      <c r="L114" s="21"/>
      <c r="M114" s="47" t="s">
        <v>928</v>
      </c>
      <c r="N114" s="27"/>
      <c r="O114" s="40">
        <f t="shared" si="4"/>
        <v>35380.129</v>
      </c>
      <c r="P114" s="21"/>
    </row>
    <row r="115" spans="3:16" ht="15.75" customHeight="1">
      <c r="C115" s="88" t="s">
        <v>283</v>
      </c>
      <c r="D115" s="48" t="s">
        <v>941</v>
      </c>
      <c r="E115" s="143" t="s">
        <v>639</v>
      </c>
      <c r="F115" s="156"/>
      <c r="G115" s="52">
        <v>37942</v>
      </c>
      <c r="H115" s="90">
        <v>39036</v>
      </c>
      <c r="I115" s="3"/>
      <c r="J115" s="34" t="s">
        <v>507</v>
      </c>
      <c r="K115" s="40">
        <v>26535.905</v>
      </c>
      <c r="L115" s="21"/>
      <c r="M115" s="47" t="s">
        <v>928</v>
      </c>
      <c r="N115" s="27"/>
      <c r="O115" s="40">
        <f t="shared" si="4"/>
        <v>26535.905</v>
      </c>
      <c r="P115" s="21"/>
    </row>
    <row r="116" spans="3:16" ht="15.75" customHeight="1">
      <c r="C116" s="43" t="s">
        <v>284</v>
      </c>
      <c r="D116" s="48" t="s">
        <v>505</v>
      </c>
      <c r="E116" s="48" t="s">
        <v>498</v>
      </c>
      <c r="F116" s="156"/>
      <c r="G116" s="52">
        <v>35479</v>
      </c>
      <c r="H116" s="90">
        <v>39128</v>
      </c>
      <c r="I116" s="3"/>
      <c r="J116" s="34" t="s">
        <v>426</v>
      </c>
      <c r="K116" s="40">
        <v>13103.678</v>
      </c>
      <c r="L116" s="21"/>
      <c r="M116" s="47" t="s">
        <v>928</v>
      </c>
      <c r="N116" s="27"/>
      <c r="O116" s="40">
        <f t="shared" si="4"/>
        <v>13103.678</v>
      </c>
      <c r="P116" s="21"/>
    </row>
    <row r="117" spans="3:16" ht="15.75" customHeight="1">
      <c r="C117" s="43" t="s">
        <v>866</v>
      </c>
      <c r="D117" s="48" t="s">
        <v>516</v>
      </c>
      <c r="E117" s="48" t="s">
        <v>533</v>
      </c>
      <c r="F117" s="156"/>
      <c r="G117" s="52">
        <v>35565</v>
      </c>
      <c r="H117" s="90">
        <v>39217</v>
      </c>
      <c r="I117" s="3"/>
      <c r="J117" s="34" t="s">
        <v>428</v>
      </c>
      <c r="K117" s="40">
        <v>13958.186</v>
      </c>
      <c r="L117" s="21"/>
      <c r="M117" s="47" t="s">
        <v>928</v>
      </c>
      <c r="N117" s="27"/>
      <c r="O117" s="40">
        <f t="shared" si="4"/>
        <v>13958.186</v>
      </c>
      <c r="P117" s="21"/>
    </row>
    <row r="118" spans="3:16" ht="15.75" customHeight="1">
      <c r="C118" s="43" t="s">
        <v>625</v>
      </c>
      <c r="D118" s="48" t="s">
        <v>938</v>
      </c>
      <c r="E118" s="89" t="s">
        <v>629</v>
      </c>
      <c r="F118" s="156"/>
      <c r="G118" s="52">
        <v>37391</v>
      </c>
      <c r="H118" s="90">
        <v>39217</v>
      </c>
      <c r="I118" s="3"/>
      <c r="J118" s="34" t="s">
        <v>428</v>
      </c>
      <c r="K118" s="40">
        <v>24351.431</v>
      </c>
      <c r="L118" s="21"/>
      <c r="M118" s="47" t="s">
        <v>928</v>
      </c>
      <c r="N118" s="27"/>
      <c r="O118" s="40">
        <f t="shared" si="4"/>
        <v>24351.431</v>
      </c>
      <c r="P118" s="21"/>
    </row>
    <row r="119" spans="3:16" ht="15.75" customHeight="1">
      <c r="C119" s="88" t="s">
        <v>626</v>
      </c>
      <c r="D119" s="48" t="s">
        <v>525</v>
      </c>
      <c r="E119" s="48" t="s">
        <v>530</v>
      </c>
      <c r="F119" s="156"/>
      <c r="G119" s="52">
        <v>35657</v>
      </c>
      <c r="H119" s="90">
        <v>39309</v>
      </c>
      <c r="I119" s="3"/>
      <c r="J119" s="34" t="s">
        <v>492</v>
      </c>
      <c r="K119" s="40">
        <v>25636.803</v>
      </c>
      <c r="L119" s="21"/>
      <c r="M119" s="47" t="s">
        <v>928</v>
      </c>
      <c r="N119" s="27"/>
      <c r="O119" s="40">
        <f t="shared" si="4"/>
        <v>25636.803</v>
      </c>
      <c r="P119" s="21"/>
    </row>
    <row r="120" spans="3:16" ht="15.75" customHeight="1">
      <c r="C120" s="43" t="s">
        <v>183</v>
      </c>
      <c r="D120" s="48" t="s">
        <v>499</v>
      </c>
      <c r="E120" s="143" t="s">
        <v>667</v>
      </c>
      <c r="F120" s="156"/>
      <c r="G120" s="52">
        <v>37483</v>
      </c>
      <c r="H120" s="90">
        <v>39309</v>
      </c>
      <c r="I120" s="3"/>
      <c r="J120" s="34" t="s">
        <v>492</v>
      </c>
      <c r="K120" s="40">
        <v>25410.844</v>
      </c>
      <c r="L120" s="21"/>
      <c r="M120" s="47" t="s">
        <v>928</v>
      </c>
      <c r="N120" s="27"/>
      <c r="O120" s="40">
        <f t="shared" si="4"/>
        <v>25410.844</v>
      </c>
      <c r="P120" s="21"/>
    </row>
    <row r="121" spans="3:16" ht="15.75" customHeight="1">
      <c r="C121" s="88" t="s">
        <v>953</v>
      </c>
      <c r="D121" s="48" t="s">
        <v>513</v>
      </c>
      <c r="E121" s="143" t="s">
        <v>894</v>
      </c>
      <c r="F121" s="156"/>
      <c r="G121" s="52">
        <v>37575</v>
      </c>
      <c r="H121" s="90">
        <v>39401</v>
      </c>
      <c r="I121" s="3"/>
      <c r="J121" s="34" t="s">
        <v>507</v>
      </c>
      <c r="K121" s="40">
        <v>23311.319</v>
      </c>
      <c r="L121" s="21"/>
      <c r="M121" s="47" t="s">
        <v>928</v>
      </c>
      <c r="N121" s="27"/>
      <c r="O121" s="40">
        <f t="shared" si="4"/>
        <v>23311.319</v>
      </c>
      <c r="P121" s="21"/>
    </row>
    <row r="122" spans="3:16" ht="15.75" customHeight="1">
      <c r="C122" s="88" t="s">
        <v>691</v>
      </c>
      <c r="D122" s="48" t="s">
        <v>505</v>
      </c>
      <c r="E122" s="89" t="s">
        <v>494</v>
      </c>
      <c r="F122" s="156"/>
      <c r="G122" s="52">
        <v>35843</v>
      </c>
      <c r="H122" s="90">
        <v>39493</v>
      </c>
      <c r="I122" s="3"/>
      <c r="J122" s="34" t="s">
        <v>426</v>
      </c>
      <c r="K122" s="40">
        <v>13583.412</v>
      </c>
      <c r="L122" s="21"/>
      <c r="M122" s="47" t="s">
        <v>928</v>
      </c>
      <c r="N122" s="27"/>
      <c r="O122" s="40">
        <f t="shared" si="4"/>
        <v>13583.412</v>
      </c>
      <c r="P122" s="21"/>
    </row>
    <row r="123" spans="3:16" ht="15.75" customHeight="1">
      <c r="C123" s="43" t="s">
        <v>957</v>
      </c>
      <c r="D123" s="48" t="s">
        <v>938</v>
      </c>
      <c r="E123" s="89">
        <v>3</v>
      </c>
      <c r="F123" s="156"/>
      <c r="G123" s="52">
        <v>37670</v>
      </c>
      <c r="H123" s="90">
        <v>39493</v>
      </c>
      <c r="I123" s="3"/>
      <c r="J123" s="34" t="s">
        <v>426</v>
      </c>
      <c r="K123" s="40">
        <v>27489.26</v>
      </c>
      <c r="L123" s="21"/>
      <c r="M123" s="47" t="s">
        <v>928</v>
      </c>
      <c r="N123" s="27"/>
      <c r="O123" s="40">
        <f t="shared" si="4"/>
        <v>27489.26</v>
      </c>
      <c r="P123" s="21"/>
    </row>
    <row r="124" spans="3:16" ht="15.75" customHeight="1">
      <c r="C124" s="43" t="s">
        <v>694</v>
      </c>
      <c r="D124" s="48" t="s">
        <v>516</v>
      </c>
      <c r="E124" s="89" t="s">
        <v>524</v>
      </c>
      <c r="F124" s="156"/>
      <c r="G124" s="52">
        <v>35930</v>
      </c>
      <c r="H124" s="90">
        <v>39583</v>
      </c>
      <c r="I124" s="3"/>
      <c r="J124" s="34" t="s">
        <v>428</v>
      </c>
      <c r="K124" s="40">
        <v>27190.961</v>
      </c>
      <c r="L124" s="21"/>
      <c r="M124" s="47" t="s">
        <v>928</v>
      </c>
      <c r="N124" s="27"/>
      <c r="O124" s="40">
        <f t="shared" si="4"/>
        <v>27190.961</v>
      </c>
      <c r="P124" s="21"/>
    </row>
    <row r="125" spans="3:16" ht="15.75" customHeight="1">
      <c r="C125" s="43" t="s">
        <v>638</v>
      </c>
      <c r="D125" s="48" t="s">
        <v>499</v>
      </c>
      <c r="E125" s="143" t="s">
        <v>639</v>
      </c>
      <c r="F125" s="156"/>
      <c r="G125" s="52">
        <v>37756</v>
      </c>
      <c r="H125" s="90">
        <v>39583</v>
      </c>
      <c r="I125" s="3"/>
      <c r="J125" s="34" t="s">
        <v>428</v>
      </c>
      <c r="K125" s="40">
        <v>33338.446</v>
      </c>
      <c r="L125" s="21"/>
      <c r="M125" s="47" t="s">
        <v>928</v>
      </c>
      <c r="N125" s="27"/>
      <c r="O125" s="40">
        <f t="shared" si="4"/>
        <v>33338.446</v>
      </c>
      <c r="P125" s="21"/>
    </row>
    <row r="126" spans="3:16" ht="15.75" customHeight="1">
      <c r="C126" s="43" t="s">
        <v>1006</v>
      </c>
      <c r="D126" s="48" t="s">
        <v>513</v>
      </c>
      <c r="E126" s="143" t="s">
        <v>667</v>
      </c>
      <c r="F126" s="156"/>
      <c r="G126" s="52">
        <v>37848</v>
      </c>
      <c r="H126" s="90">
        <v>39675</v>
      </c>
      <c r="I126" s="3"/>
      <c r="J126" s="34" t="s">
        <v>492</v>
      </c>
      <c r="K126" s="40">
        <v>21357.474</v>
      </c>
      <c r="L126" s="21"/>
      <c r="M126" s="47" t="s">
        <v>928</v>
      </c>
      <c r="N126" s="27"/>
      <c r="O126" s="40">
        <f>K126</f>
        <v>21357.474</v>
      </c>
      <c r="P126" s="21"/>
    </row>
    <row r="127" spans="3:16" ht="15.75" customHeight="1">
      <c r="C127" s="43" t="s">
        <v>910</v>
      </c>
      <c r="D127" s="48" t="s">
        <v>521</v>
      </c>
      <c r="E127" s="143" t="s">
        <v>911</v>
      </c>
      <c r="F127" s="156"/>
      <c r="G127" s="52">
        <v>37879</v>
      </c>
      <c r="H127" s="90">
        <v>39706</v>
      </c>
      <c r="I127" s="3"/>
      <c r="J127" s="34" t="s">
        <v>912</v>
      </c>
      <c r="K127" s="40">
        <v>16002.177</v>
      </c>
      <c r="L127" s="21"/>
      <c r="M127" s="47" t="s">
        <v>928</v>
      </c>
      <c r="N127" s="27"/>
      <c r="O127" s="40">
        <f>K127</f>
        <v>16002.177</v>
      </c>
      <c r="P127" s="21"/>
    </row>
    <row r="128" spans="3:16" ht="15.75" customHeight="1">
      <c r="C128" s="43" t="s">
        <v>165</v>
      </c>
      <c r="D128" s="48" t="s">
        <v>941</v>
      </c>
      <c r="E128" s="143" t="s">
        <v>911</v>
      </c>
      <c r="F128" s="156"/>
      <c r="G128" s="52">
        <v>37909</v>
      </c>
      <c r="H128" s="46">
        <v>39736</v>
      </c>
      <c r="I128" s="3"/>
      <c r="J128" s="34" t="s">
        <v>501</v>
      </c>
      <c r="K128" s="40">
        <v>15995.702</v>
      </c>
      <c r="L128" s="21"/>
      <c r="M128" s="47" t="s">
        <v>928</v>
      </c>
      <c r="N128" s="27"/>
      <c r="O128" s="40">
        <f>K128</f>
        <v>15995.702</v>
      </c>
      <c r="P128" s="21"/>
    </row>
    <row r="129" spans="3:16" ht="15.75" customHeight="1">
      <c r="C129" s="88" t="s">
        <v>640</v>
      </c>
      <c r="D129" s="48" t="s">
        <v>525</v>
      </c>
      <c r="E129" s="89" t="s">
        <v>536</v>
      </c>
      <c r="F129" s="156"/>
      <c r="G129" s="52">
        <v>36115</v>
      </c>
      <c r="H129" s="90">
        <v>39767</v>
      </c>
      <c r="I129" s="3"/>
      <c r="J129" s="34" t="s">
        <v>507</v>
      </c>
      <c r="K129" s="40">
        <v>25083.125</v>
      </c>
      <c r="L129" s="21"/>
      <c r="M129" s="47" t="s">
        <v>928</v>
      </c>
      <c r="N129" s="27"/>
      <c r="O129" s="40">
        <f>K129+M129</f>
        <v>25083.125</v>
      </c>
      <c r="P129" s="21"/>
    </row>
    <row r="130" spans="3:16" ht="15.75" customHeight="1">
      <c r="C130" s="43" t="s">
        <v>285</v>
      </c>
      <c r="D130" s="48" t="s">
        <v>493</v>
      </c>
      <c r="E130" s="143" t="s">
        <v>1172</v>
      </c>
      <c r="F130" s="156"/>
      <c r="G130" s="52">
        <v>37942</v>
      </c>
      <c r="H130" s="90">
        <v>39767</v>
      </c>
      <c r="I130" s="3"/>
      <c r="J130" s="34" t="s">
        <v>507</v>
      </c>
      <c r="K130" s="40">
        <v>18181.033</v>
      </c>
      <c r="L130" s="21"/>
      <c r="M130" s="47" t="s">
        <v>928</v>
      </c>
      <c r="N130" s="27"/>
      <c r="O130" s="40">
        <f>K130+M130</f>
        <v>18181.033</v>
      </c>
      <c r="P130" s="21"/>
    </row>
    <row r="131" spans="3:16" ht="15.75" customHeight="1">
      <c r="C131" s="43" t="s">
        <v>727</v>
      </c>
      <c r="D131" s="48" t="s">
        <v>496</v>
      </c>
      <c r="E131" s="143" t="s">
        <v>1172</v>
      </c>
      <c r="F131" s="156"/>
      <c r="G131" s="52">
        <v>37970</v>
      </c>
      <c r="H131" s="90">
        <v>39797</v>
      </c>
      <c r="I131" s="3"/>
      <c r="J131" s="34" t="s">
        <v>728</v>
      </c>
      <c r="K131" s="40">
        <v>16000.028</v>
      </c>
      <c r="L131" s="21"/>
      <c r="M131" s="47" t="s">
        <v>928</v>
      </c>
      <c r="N131" s="27"/>
      <c r="O131" s="40">
        <f>K131+M131</f>
        <v>16000.028</v>
      </c>
      <c r="P131" s="21"/>
    </row>
    <row r="132" spans="3:16" ht="15.75" customHeight="1">
      <c r="C132" s="43" t="s">
        <v>842</v>
      </c>
      <c r="D132" s="48" t="s">
        <v>525</v>
      </c>
      <c r="E132" s="143" t="s">
        <v>667</v>
      </c>
      <c r="F132" s="156"/>
      <c r="G132" s="52">
        <v>38001</v>
      </c>
      <c r="H132" s="90">
        <v>39828</v>
      </c>
      <c r="I132" s="3"/>
      <c r="J132" s="34" t="s">
        <v>635</v>
      </c>
      <c r="K132" s="40">
        <v>16002.561</v>
      </c>
      <c r="L132" s="21"/>
      <c r="M132" s="47" t="s">
        <v>928</v>
      </c>
      <c r="N132" s="27"/>
      <c r="O132" s="40">
        <f>K132+M132</f>
        <v>16002.561</v>
      </c>
      <c r="P132" s="21"/>
    </row>
    <row r="133" spans="3:16" ht="15.75" customHeight="1">
      <c r="C133" s="88" t="s">
        <v>287</v>
      </c>
      <c r="D133" s="48" t="s">
        <v>505</v>
      </c>
      <c r="E133" s="89" t="s">
        <v>494</v>
      </c>
      <c r="F133" s="156"/>
      <c r="G133" s="52">
        <v>36297</v>
      </c>
      <c r="H133" s="90">
        <v>39948</v>
      </c>
      <c r="I133" s="3"/>
      <c r="J133" s="34" t="s">
        <v>428</v>
      </c>
      <c r="K133" s="40">
        <v>14794.79</v>
      </c>
      <c r="L133" s="21"/>
      <c r="M133" s="47" t="s">
        <v>928</v>
      </c>
      <c r="N133" s="27"/>
      <c r="O133" s="40">
        <f aca="true" t="shared" si="5" ref="O133:O148">K133+M133</f>
        <v>14794.79</v>
      </c>
      <c r="P133" s="21"/>
    </row>
    <row r="134" spans="3:16" ht="15.75" customHeight="1">
      <c r="C134" s="88" t="s">
        <v>867</v>
      </c>
      <c r="D134" s="48" t="s">
        <v>516</v>
      </c>
      <c r="E134" s="89">
        <v>6</v>
      </c>
      <c r="F134" s="156"/>
      <c r="G134" s="52">
        <v>36388</v>
      </c>
      <c r="H134" s="90">
        <v>40040</v>
      </c>
      <c r="I134" s="3"/>
      <c r="J134" s="34" t="s">
        <v>492</v>
      </c>
      <c r="K134" s="40">
        <v>27399.894</v>
      </c>
      <c r="L134" s="21"/>
      <c r="M134" s="47" t="s">
        <v>928</v>
      </c>
      <c r="N134" s="27"/>
      <c r="O134" s="40">
        <f t="shared" si="5"/>
        <v>27399.894</v>
      </c>
      <c r="P134" s="21"/>
    </row>
    <row r="135" spans="3:16" ht="15.75" customHeight="1">
      <c r="C135" s="43" t="s">
        <v>868</v>
      </c>
      <c r="D135" s="48" t="s">
        <v>505</v>
      </c>
      <c r="E135" s="48" t="s">
        <v>503</v>
      </c>
      <c r="F135" s="156"/>
      <c r="G135" s="52">
        <v>36571</v>
      </c>
      <c r="H135" s="90">
        <v>40224</v>
      </c>
      <c r="I135" s="3"/>
      <c r="J135" s="34" t="s">
        <v>426</v>
      </c>
      <c r="K135" s="40">
        <v>23355.709</v>
      </c>
      <c r="L135" s="21"/>
      <c r="M135" s="47" t="s">
        <v>928</v>
      </c>
      <c r="N135" s="27"/>
      <c r="O135" s="40">
        <f t="shared" si="5"/>
        <v>23355.709</v>
      </c>
      <c r="P135" s="21"/>
    </row>
    <row r="136" spans="3:16" ht="15.75" customHeight="1">
      <c r="C136" s="43" t="s">
        <v>869</v>
      </c>
      <c r="D136" s="48" t="s">
        <v>516</v>
      </c>
      <c r="E136" s="89" t="s">
        <v>937</v>
      </c>
      <c r="F136" s="156"/>
      <c r="G136" s="52">
        <v>36753</v>
      </c>
      <c r="H136" s="90">
        <v>40405</v>
      </c>
      <c r="I136" s="3"/>
      <c r="J136" s="34" t="s">
        <v>492</v>
      </c>
      <c r="K136" s="40">
        <v>22437.594</v>
      </c>
      <c r="L136" s="21"/>
      <c r="M136" s="47" t="s">
        <v>928</v>
      </c>
      <c r="N136" s="27"/>
      <c r="O136" s="40">
        <f t="shared" si="5"/>
        <v>22437.594</v>
      </c>
      <c r="P136" s="21"/>
    </row>
    <row r="137" spans="3:16" ht="15.75" customHeight="1">
      <c r="C137" s="43" t="s">
        <v>892</v>
      </c>
      <c r="D137" s="48" t="s">
        <v>505</v>
      </c>
      <c r="E137" s="89">
        <v>5</v>
      </c>
      <c r="F137" s="156"/>
      <c r="G137" s="52">
        <v>36937</v>
      </c>
      <c r="H137" s="90">
        <v>40589</v>
      </c>
      <c r="I137" s="3"/>
      <c r="J137" s="34" t="s">
        <v>426</v>
      </c>
      <c r="K137" s="40">
        <v>23436.329</v>
      </c>
      <c r="L137" s="21"/>
      <c r="M137" s="47" t="s">
        <v>928</v>
      </c>
      <c r="N137" s="27"/>
      <c r="O137" s="40">
        <f t="shared" si="5"/>
        <v>23436.329</v>
      </c>
      <c r="P137" s="21"/>
    </row>
    <row r="138" spans="3:16" ht="15.75" customHeight="1">
      <c r="C138" s="43" t="s">
        <v>966</v>
      </c>
      <c r="D138" s="48" t="s">
        <v>516</v>
      </c>
      <c r="E138" s="89">
        <v>5</v>
      </c>
      <c r="F138" s="156"/>
      <c r="G138" s="52">
        <v>37118</v>
      </c>
      <c r="H138" s="90">
        <v>40770</v>
      </c>
      <c r="I138" s="3"/>
      <c r="J138" s="34" t="s">
        <v>492</v>
      </c>
      <c r="K138" s="40">
        <v>26635.316</v>
      </c>
      <c r="L138" s="21"/>
      <c r="M138" s="47" t="s">
        <v>928</v>
      </c>
      <c r="N138" s="27"/>
      <c r="O138" s="40">
        <f aca="true" t="shared" si="6" ref="O138:O143">K138+M138</f>
        <v>26635.316</v>
      </c>
      <c r="P138" s="21"/>
    </row>
    <row r="139" spans="3:16" ht="15.75" customHeight="1">
      <c r="C139" s="43" t="s">
        <v>1208</v>
      </c>
      <c r="D139" s="48" t="s">
        <v>505</v>
      </c>
      <c r="E139" s="89" t="s">
        <v>1209</v>
      </c>
      <c r="F139" s="156"/>
      <c r="G139" s="52">
        <v>37302</v>
      </c>
      <c r="H139" s="90">
        <v>40954</v>
      </c>
      <c r="I139" s="3"/>
      <c r="J139" s="34" t="s">
        <v>426</v>
      </c>
      <c r="K139" s="40">
        <v>24779.838</v>
      </c>
      <c r="L139" s="21"/>
      <c r="M139" s="47" t="s">
        <v>928</v>
      </c>
      <c r="N139" s="27"/>
      <c r="O139" s="40">
        <f t="shared" si="6"/>
        <v>24779.838</v>
      </c>
      <c r="P139" s="21"/>
    </row>
    <row r="140" spans="3:16" ht="15.75" customHeight="1">
      <c r="C140" s="43" t="s">
        <v>692</v>
      </c>
      <c r="D140" s="48" t="s">
        <v>525</v>
      </c>
      <c r="E140" s="89" t="s">
        <v>629</v>
      </c>
      <c r="F140" s="156"/>
      <c r="G140" s="52">
        <v>37483</v>
      </c>
      <c r="H140" s="90">
        <v>41136</v>
      </c>
      <c r="I140" s="3"/>
      <c r="J140" s="34" t="s">
        <v>492</v>
      </c>
      <c r="K140" s="40">
        <v>19647.976</v>
      </c>
      <c r="L140" s="21"/>
      <c r="M140" s="47" t="s">
        <v>928</v>
      </c>
      <c r="N140" s="27"/>
      <c r="O140" s="40">
        <f t="shared" si="6"/>
        <v>19647.976</v>
      </c>
      <c r="P140" s="21"/>
    </row>
    <row r="141" spans="3:16" ht="15.75" customHeight="1">
      <c r="C141" s="43" t="s">
        <v>952</v>
      </c>
      <c r="D141" s="48" t="s">
        <v>938</v>
      </c>
      <c r="E141" s="89" t="s">
        <v>272</v>
      </c>
      <c r="F141" s="156"/>
      <c r="G141" s="52">
        <v>37575</v>
      </c>
      <c r="H141" s="90">
        <v>41228</v>
      </c>
      <c r="I141" s="3"/>
      <c r="J141" s="34" t="s">
        <v>507</v>
      </c>
      <c r="K141" s="40">
        <v>18112.742</v>
      </c>
      <c r="L141" s="21"/>
      <c r="M141" s="47" t="s">
        <v>928</v>
      </c>
      <c r="N141" s="27"/>
      <c r="O141" s="40">
        <f t="shared" si="6"/>
        <v>18112.742</v>
      </c>
      <c r="P141" s="21"/>
    </row>
    <row r="142" spans="3:16" ht="15.75" customHeight="1">
      <c r="C142" s="43" t="s">
        <v>959</v>
      </c>
      <c r="D142" s="48" t="s">
        <v>944</v>
      </c>
      <c r="E142" s="143" t="s">
        <v>1025</v>
      </c>
      <c r="F142" s="156"/>
      <c r="G142" s="52">
        <v>37670</v>
      </c>
      <c r="H142" s="90">
        <v>41320</v>
      </c>
      <c r="I142" s="3"/>
      <c r="J142" s="34" t="s">
        <v>426</v>
      </c>
      <c r="K142" s="40">
        <v>19498.396</v>
      </c>
      <c r="L142" s="21"/>
      <c r="M142" s="47" t="s">
        <v>928</v>
      </c>
      <c r="N142" s="27"/>
      <c r="O142" s="40">
        <f t="shared" si="6"/>
        <v>19498.396</v>
      </c>
      <c r="P142" s="21"/>
    </row>
    <row r="143" spans="3:16" ht="15.75" customHeight="1">
      <c r="C143" s="43" t="s">
        <v>641</v>
      </c>
      <c r="D143" s="48" t="s">
        <v>505</v>
      </c>
      <c r="E143" s="143" t="s">
        <v>1171</v>
      </c>
      <c r="F143" s="156"/>
      <c r="G143" s="52">
        <v>37756</v>
      </c>
      <c r="H143" s="90">
        <v>41409</v>
      </c>
      <c r="I143" s="3"/>
      <c r="J143" s="34" t="s">
        <v>428</v>
      </c>
      <c r="K143" s="40">
        <v>18253.553</v>
      </c>
      <c r="L143" s="21"/>
      <c r="M143" s="47" t="s">
        <v>928</v>
      </c>
      <c r="N143" s="27"/>
      <c r="O143" s="40">
        <f t="shared" si="6"/>
        <v>18253.553</v>
      </c>
      <c r="P143" s="21"/>
    </row>
    <row r="144" spans="3:16" ht="15.75" customHeight="1">
      <c r="C144" s="43" t="s">
        <v>1003</v>
      </c>
      <c r="D144" s="48" t="s">
        <v>525</v>
      </c>
      <c r="E144" s="143" t="s">
        <v>534</v>
      </c>
      <c r="F144" s="156"/>
      <c r="G144" s="52">
        <v>37848</v>
      </c>
      <c r="H144" s="90">
        <v>41501</v>
      </c>
      <c r="I144" s="3"/>
      <c r="J144" s="34" t="s">
        <v>492</v>
      </c>
      <c r="K144" s="40">
        <v>33521.123</v>
      </c>
      <c r="L144" s="21"/>
      <c r="M144" s="47" t="s">
        <v>928</v>
      </c>
      <c r="N144" s="27"/>
      <c r="O144" s="40">
        <f>K144</f>
        <v>33521.123</v>
      </c>
      <c r="P144" s="21"/>
    </row>
    <row r="145" spans="3:16" ht="15.75" customHeight="1">
      <c r="C145" s="43" t="s">
        <v>281</v>
      </c>
      <c r="D145" s="48" t="s">
        <v>938</v>
      </c>
      <c r="E145" s="143" t="s">
        <v>534</v>
      </c>
      <c r="F145" s="156"/>
      <c r="G145" s="52">
        <v>37942</v>
      </c>
      <c r="H145" s="90">
        <v>41593</v>
      </c>
      <c r="I145" s="3"/>
      <c r="J145" s="34" t="s">
        <v>507</v>
      </c>
      <c r="K145" s="40">
        <v>30636.844</v>
      </c>
      <c r="L145" s="21"/>
      <c r="M145" s="47" t="s">
        <v>928</v>
      </c>
      <c r="N145" s="27"/>
      <c r="O145" s="40">
        <f>K145</f>
        <v>30636.844</v>
      </c>
      <c r="P145" s="21"/>
    </row>
    <row r="146" spans="2:16" ht="15.75" customHeight="1">
      <c r="B146" s="9" t="s">
        <v>136</v>
      </c>
      <c r="F146" s="43"/>
      <c r="G146" s="16" t="s">
        <v>929</v>
      </c>
      <c r="H146" s="46" t="s">
        <v>930</v>
      </c>
      <c r="I146" s="3"/>
      <c r="J146" s="34" t="s">
        <v>931</v>
      </c>
      <c r="K146" s="56">
        <f>SUM(K60:K145)</f>
        <v>1890952.6570000004</v>
      </c>
      <c r="L146" s="216"/>
      <c r="M146" s="217" t="s">
        <v>928</v>
      </c>
      <c r="N146" s="218"/>
      <c r="O146" s="224">
        <f t="shared" si="5"/>
        <v>1890952.6570000004</v>
      </c>
      <c r="P146" s="216"/>
    </row>
    <row r="147" spans="2:16" ht="15.75" customHeight="1">
      <c r="B147" t="s">
        <v>835</v>
      </c>
      <c r="F147" s="65"/>
      <c r="G147" s="16" t="s">
        <v>929</v>
      </c>
      <c r="H147" s="46" t="s">
        <v>930</v>
      </c>
      <c r="I147" s="3"/>
      <c r="J147" s="34" t="s">
        <v>931</v>
      </c>
      <c r="K147" s="56">
        <v>30826.7296</v>
      </c>
      <c r="L147" s="263"/>
      <c r="M147" s="217" t="s">
        <v>928</v>
      </c>
      <c r="N147" s="218"/>
      <c r="O147" s="224">
        <f t="shared" si="5"/>
        <v>30826.7296</v>
      </c>
      <c r="P147" s="216"/>
    </row>
    <row r="148" spans="2:16" ht="15.75" customHeight="1" thickBot="1">
      <c r="B148" s="75" t="s">
        <v>137</v>
      </c>
      <c r="F148" s="43"/>
      <c r="G148" s="16" t="s">
        <v>929</v>
      </c>
      <c r="H148" s="46" t="s">
        <v>930</v>
      </c>
      <c r="I148" s="3"/>
      <c r="J148" s="34" t="s">
        <v>931</v>
      </c>
      <c r="K148" s="222">
        <f>SUM(K146:K147)</f>
        <v>1921779.3866000003</v>
      </c>
      <c r="L148" s="223"/>
      <c r="M148" s="225" t="s">
        <v>928</v>
      </c>
      <c r="N148" s="226"/>
      <c r="O148" s="222">
        <f t="shared" si="5"/>
        <v>1921779.3866000003</v>
      </c>
      <c r="P148" s="223"/>
    </row>
    <row r="149" spans="6:16" ht="15.75" customHeight="1" thickTop="1">
      <c r="F149" s="43"/>
      <c r="G149" s="97"/>
      <c r="H149" s="189"/>
      <c r="I149" s="3"/>
      <c r="J149" s="131"/>
      <c r="K149" s="108"/>
      <c r="L149" s="108"/>
      <c r="M149" s="109"/>
      <c r="N149" s="109"/>
      <c r="O149" s="108"/>
      <c r="P149" s="108"/>
    </row>
    <row r="171" spans="1:16" ht="15.75" customHeight="1" thickBot="1">
      <c r="A171" s="100"/>
      <c r="B171" s="100"/>
      <c r="C171" s="172"/>
      <c r="D171" s="173"/>
      <c r="E171" s="173"/>
      <c r="F171" s="174"/>
      <c r="G171" s="136"/>
      <c r="H171" s="137"/>
      <c r="I171" s="130"/>
      <c r="J171" s="101"/>
      <c r="K171" s="103"/>
      <c r="L171" s="103"/>
      <c r="M171" s="104"/>
      <c r="N171" s="104"/>
      <c r="O171" s="103"/>
      <c r="P171" s="103"/>
    </row>
    <row r="172" spans="1:16" ht="16.5" thickTop="1">
      <c r="A172" s="7">
        <v>4</v>
      </c>
      <c r="B172" s="2" t="str">
        <f>B86</f>
        <v>TABLE III - DETAIL OF TREASURY SECURITIES OUTSTANDING, JANUARY 31, 2004 -- Continued</v>
      </c>
      <c r="C172" s="2"/>
      <c r="D172" s="3"/>
      <c r="E172" s="3"/>
      <c r="F172" s="3"/>
      <c r="G172" s="3"/>
      <c r="H172" s="3"/>
      <c r="I172" s="29"/>
      <c r="J172" s="3"/>
      <c r="K172" s="3"/>
      <c r="L172" s="3"/>
      <c r="M172" s="3"/>
      <c r="N172" s="3"/>
      <c r="O172" s="3"/>
      <c r="P172" s="95"/>
    </row>
    <row r="173" spans="1:16" ht="11.25" customHeight="1" thickBot="1">
      <c r="A173" s="7"/>
      <c r="B173" s="2"/>
      <c r="C173" s="2"/>
      <c r="D173" s="3"/>
      <c r="E173" s="3"/>
      <c r="F173" s="3"/>
      <c r="G173" s="3"/>
      <c r="H173" s="3"/>
      <c r="I173" s="29"/>
      <c r="J173" s="3"/>
      <c r="K173" s="3"/>
      <c r="L173" s="3"/>
      <c r="M173" s="3"/>
      <c r="N173" s="3"/>
      <c r="O173" s="3"/>
      <c r="P173" s="2"/>
    </row>
    <row r="174" spans="1:16" ht="16.5" customHeight="1" thickTop="1">
      <c r="A174" s="32"/>
      <c r="B174" s="32"/>
      <c r="C174" s="32"/>
      <c r="D174" s="32"/>
      <c r="E174" s="32"/>
      <c r="F174" s="32"/>
      <c r="G174" s="26"/>
      <c r="H174" s="26"/>
      <c r="I174" s="33"/>
      <c r="J174" s="67"/>
      <c r="K174" s="26"/>
      <c r="L174" s="32"/>
      <c r="M174" s="32"/>
      <c r="N174" s="32"/>
      <c r="O174" s="32"/>
      <c r="P174" s="32"/>
    </row>
    <row r="175" spans="7:16" ht="15.75" customHeight="1">
      <c r="G175" s="16" t="s">
        <v>448</v>
      </c>
      <c r="H175" s="16" t="s">
        <v>449</v>
      </c>
      <c r="I175" s="29"/>
      <c r="J175" s="34" t="s">
        <v>450</v>
      </c>
      <c r="K175" s="16" t="s">
        <v>451</v>
      </c>
      <c r="L175" s="3"/>
      <c r="M175" s="3"/>
      <c r="N175" s="3"/>
      <c r="O175" s="3"/>
      <c r="P175" s="3"/>
    </row>
    <row r="176" spans="1:11" ht="15.75" customHeight="1">
      <c r="A176" s="3" t="s">
        <v>452</v>
      </c>
      <c r="B176" s="3"/>
      <c r="C176" s="3"/>
      <c r="D176" s="3"/>
      <c r="E176" s="3"/>
      <c r="F176" s="3"/>
      <c r="G176" s="16" t="s">
        <v>453</v>
      </c>
      <c r="H176" s="16" t="s">
        <v>454</v>
      </c>
      <c r="I176" s="29"/>
      <c r="J176" s="34" t="s">
        <v>455</v>
      </c>
      <c r="K176" s="14"/>
    </row>
    <row r="177" spans="1:16" ht="15.75" customHeight="1">
      <c r="A177" s="15"/>
      <c r="B177" s="15"/>
      <c r="C177" s="15"/>
      <c r="D177" s="15"/>
      <c r="E177" s="15"/>
      <c r="F177" s="15"/>
      <c r="G177" s="166"/>
      <c r="H177" s="35"/>
      <c r="I177" s="36"/>
      <c r="J177" s="166"/>
      <c r="K177" s="37" t="s">
        <v>456</v>
      </c>
      <c r="L177" s="38"/>
      <c r="M177" s="37" t="s">
        <v>923</v>
      </c>
      <c r="N177" s="38"/>
      <c r="O177" s="37" t="s">
        <v>16</v>
      </c>
      <c r="P177" s="38"/>
    </row>
    <row r="178" spans="7:15" ht="0.75" customHeight="1" hidden="1">
      <c r="G178" s="14"/>
      <c r="H178" s="14"/>
      <c r="I178" s="31"/>
      <c r="J178" s="34"/>
      <c r="K178" s="14"/>
      <c r="M178" s="14"/>
      <c r="O178" s="14"/>
    </row>
    <row r="179" spans="7:16" ht="15.75" customHeight="1">
      <c r="G179" s="18"/>
      <c r="H179" s="18"/>
      <c r="I179" s="39"/>
      <c r="J179" s="68"/>
      <c r="K179" s="14"/>
      <c r="M179" s="14"/>
      <c r="O179" s="40"/>
      <c r="P179" s="21"/>
    </row>
    <row r="180" spans="1:16" ht="18" customHeight="1">
      <c r="A180" s="60" t="s">
        <v>25</v>
      </c>
      <c r="B180" s="60"/>
      <c r="G180" s="18"/>
      <c r="H180" s="18"/>
      <c r="I180" s="39"/>
      <c r="J180" s="68"/>
      <c r="K180" s="14"/>
      <c r="M180" s="14"/>
      <c r="O180" s="40"/>
      <c r="P180" s="21"/>
    </row>
    <row r="181" spans="2:15" ht="21" customHeight="1">
      <c r="B181" s="9" t="s">
        <v>605</v>
      </c>
      <c r="C181" s="43"/>
      <c r="D181" s="157" t="s">
        <v>818</v>
      </c>
      <c r="F181" s="19"/>
      <c r="G181" s="45"/>
      <c r="H181" s="45"/>
      <c r="J181" s="34"/>
      <c r="K181" s="14"/>
      <c r="M181" s="14"/>
      <c r="O181" s="40" t="s">
        <v>13</v>
      </c>
    </row>
    <row r="182" spans="2:16" ht="17.25" customHeight="1">
      <c r="B182" s="9" t="s">
        <v>926</v>
      </c>
      <c r="D182" s="3"/>
      <c r="E182" s="3" t="s">
        <v>934</v>
      </c>
      <c r="F182" s="3"/>
      <c r="G182" s="70"/>
      <c r="I182" s="42"/>
      <c r="J182" s="68"/>
      <c r="K182" s="14"/>
      <c r="M182" s="14"/>
      <c r="O182" s="40"/>
      <c r="P182" s="21"/>
    </row>
    <row r="183" spans="3:16" ht="15.75" customHeight="1">
      <c r="C183" s="43" t="s">
        <v>918</v>
      </c>
      <c r="E183" s="48" t="s">
        <v>506</v>
      </c>
      <c r="F183" s="156">
        <v>7</v>
      </c>
      <c r="G183" s="46">
        <v>28990</v>
      </c>
      <c r="H183" s="107">
        <v>39948</v>
      </c>
      <c r="I183" s="162"/>
      <c r="J183" s="34" t="s">
        <v>428</v>
      </c>
      <c r="K183" s="40">
        <v>4605.676</v>
      </c>
      <c r="L183" s="21"/>
      <c r="M183" s="47" t="s">
        <v>928</v>
      </c>
      <c r="N183" s="27"/>
      <c r="O183" s="40">
        <f>K183+M183</f>
        <v>4605.676</v>
      </c>
      <c r="P183" s="21"/>
    </row>
    <row r="184" spans="7:16" ht="15.75" customHeight="1">
      <c r="G184" s="45"/>
      <c r="H184" s="107">
        <v>38122</v>
      </c>
      <c r="I184" s="161">
        <v>8</v>
      </c>
      <c r="J184" s="34"/>
      <c r="K184" s="40"/>
      <c r="L184" s="21"/>
      <c r="M184" s="40"/>
      <c r="N184" s="21"/>
      <c r="O184" s="40" t="s">
        <v>13</v>
      </c>
      <c r="P184" s="21"/>
    </row>
    <row r="185" spans="3:16" ht="15.75" customHeight="1">
      <c r="C185" s="43" t="s">
        <v>870</v>
      </c>
      <c r="E185" s="48" t="s">
        <v>541</v>
      </c>
      <c r="F185" s="156">
        <v>7</v>
      </c>
      <c r="G185" s="46">
        <v>30777</v>
      </c>
      <c r="H185" s="125">
        <v>38122</v>
      </c>
      <c r="I185" s="162"/>
      <c r="J185" s="34" t="s">
        <v>428</v>
      </c>
      <c r="K185" s="40">
        <v>3754.928</v>
      </c>
      <c r="L185" s="21"/>
      <c r="M185" s="47" t="s">
        <v>928</v>
      </c>
      <c r="N185" s="27"/>
      <c r="O185" s="40">
        <f>K185+M185</f>
        <v>3754.928</v>
      </c>
      <c r="P185" s="21"/>
    </row>
    <row r="186" spans="3:16" ht="15.75" customHeight="1">
      <c r="C186" s="43" t="s">
        <v>871</v>
      </c>
      <c r="E186" s="48" t="s">
        <v>542</v>
      </c>
      <c r="F186" s="156">
        <v>7</v>
      </c>
      <c r="G186" s="46">
        <v>30873</v>
      </c>
      <c r="H186" s="125">
        <v>38214</v>
      </c>
      <c r="I186" s="162"/>
      <c r="J186" s="34" t="s">
        <v>492</v>
      </c>
      <c r="K186" s="40">
        <v>4000.363</v>
      </c>
      <c r="L186" s="21"/>
      <c r="M186" s="47" t="s">
        <v>928</v>
      </c>
      <c r="N186" s="27"/>
      <c r="O186" s="40">
        <f>K186+M186</f>
        <v>4000.363</v>
      </c>
      <c r="P186" s="21"/>
    </row>
    <row r="187" spans="3:16" ht="15.75" customHeight="1">
      <c r="C187" s="43" t="s">
        <v>872</v>
      </c>
      <c r="E187" s="48" t="s">
        <v>543</v>
      </c>
      <c r="F187" s="156">
        <v>7</v>
      </c>
      <c r="G187" s="46">
        <v>29174</v>
      </c>
      <c r="H187" s="125">
        <v>40132</v>
      </c>
      <c r="I187" s="162"/>
      <c r="J187" s="34" t="s">
        <v>507</v>
      </c>
      <c r="K187" s="40">
        <v>4201.062</v>
      </c>
      <c r="L187" s="21"/>
      <c r="M187" s="47" t="s">
        <v>928</v>
      </c>
      <c r="N187" s="27"/>
      <c r="O187" s="40">
        <f>K187+M187</f>
        <v>4201.062</v>
      </c>
      <c r="P187" s="21"/>
    </row>
    <row r="188" spans="6:16" ht="15.75" customHeight="1">
      <c r="F188" s="156"/>
      <c r="G188" s="45"/>
      <c r="H188" s="107">
        <v>38306</v>
      </c>
      <c r="I188" s="161">
        <v>8</v>
      </c>
      <c r="J188" s="34"/>
      <c r="K188" s="40"/>
      <c r="L188" s="21"/>
      <c r="M188" s="40"/>
      <c r="N188" s="21"/>
      <c r="O188" s="40" t="s">
        <v>13</v>
      </c>
      <c r="P188" s="21"/>
    </row>
    <row r="189" spans="3:16" ht="15.75" customHeight="1">
      <c r="C189" s="43" t="s">
        <v>873</v>
      </c>
      <c r="E189" s="48" t="s">
        <v>539</v>
      </c>
      <c r="G189" s="46">
        <v>30985</v>
      </c>
      <c r="H189" s="125">
        <v>38306</v>
      </c>
      <c r="I189" s="162"/>
      <c r="J189" s="34" t="s">
        <v>507</v>
      </c>
      <c r="K189" s="40">
        <v>8301.806</v>
      </c>
      <c r="L189" s="21"/>
      <c r="M189" s="47" t="s">
        <v>928</v>
      </c>
      <c r="N189" s="27"/>
      <c r="O189" s="40">
        <f>K189+M189</f>
        <v>8301.806</v>
      </c>
      <c r="P189" s="21"/>
    </row>
    <row r="190" spans="3:16" ht="15.75" customHeight="1">
      <c r="C190" s="43" t="s">
        <v>874</v>
      </c>
      <c r="E190" s="48" t="s">
        <v>537</v>
      </c>
      <c r="F190" s="156">
        <v>7</v>
      </c>
      <c r="G190" s="46">
        <v>29266</v>
      </c>
      <c r="H190" s="125">
        <v>40224</v>
      </c>
      <c r="I190" s="162"/>
      <c r="J190" s="34" t="s">
        <v>426</v>
      </c>
      <c r="K190" s="40">
        <v>2647.309</v>
      </c>
      <c r="L190" s="21"/>
      <c r="M190" s="51">
        <v>-332.1</v>
      </c>
      <c r="N190" s="21"/>
      <c r="O190" s="40">
        <f>K190+M190</f>
        <v>2315.2090000000003</v>
      </c>
      <c r="P190" s="21"/>
    </row>
    <row r="191" spans="6:16" ht="15.75" customHeight="1">
      <c r="F191" s="160"/>
      <c r="G191" s="45"/>
      <c r="H191" s="107">
        <v>38398</v>
      </c>
      <c r="I191" s="161">
        <v>8</v>
      </c>
      <c r="J191" s="34"/>
      <c r="K191" s="40"/>
      <c r="L191" s="21"/>
      <c r="M191" s="40"/>
      <c r="N191" s="21"/>
      <c r="O191" s="40" t="s">
        <v>13</v>
      </c>
      <c r="P191" s="21"/>
    </row>
    <row r="192" spans="3:16" ht="15.75" customHeight="1">
      <c r="C192" s="43" t="s">
        <v>875</v>
      </c>
      <c r="E192" s="48" t="s">
        <v>544</v>
      </c>
      <c r="F192" s="156">
        <v>7</v>
      </c>
      <c r="G192" s="46">
        <v>29356</v>
      </c>
      <c r="H192" s="125">
        <v>40313</v>
      </c>
      <c r="I192" s="162"/>
      <c r="J192" s="411" t="s">
        <v>428</v>
      </c>
      <c r="K192" s="40">
        <v>2987.44</v>
      </c>
      <c r="L192" s="21"/>
      <c r="M192" s="47" t="s">
        <v>928</v>
      </c>
      <c r="N192" s="27"/>
      <c r="O192" s="40">
        <f>K192+M192</f>
        <v>2987.44</v>
      </c>
      <c r="P192" s="21"/>
    </row>
    <row r="193" spans="6:16" ht="15.75" customHeight="1">
      <c r="F193" s="160"/>
      <c r="G193" s="45"/>
      <c r="H193" s="107">
        <v>38487</v>
      </c>
      <c r="I193" s="161">
        <v>8</v>
      </c>
      <c r="J193" s="34"/>
      <c r="K193" s="40"/>
      <c r="L193" s="21"/>
      <c r="M193" s="40"/>
      <c r="N193" s="21"/>
      <c r="O193" s="40" t="s">
        <v>13</v>
      </c>
      <c r="P193" s="21"/>
    </row>
    <row r="194" spans="3:16" ht="15.75" customHeight="1">
      <c r="C194" s="43" t="s">
        <v>876</v>
      </c>
      <c r="E194" s="48" t="s">
        <v>545</v>
      </c>
      <c r="F194" s="156"/>
      <c r="G194" s="46">
        <v>31139</v>
      </c>
      <c r="H194" s="125">
        <v>38487</v>
      </c>
      <c r="I194" s="162"/>
      <c r="J194" s="34" t="s">
        <v>428</v>
      </c>
      <c r="K194" s="40">
        <v>4260.758</v>
      </c>
      <c r="L194" s="21"/>
      <c r="M194" s="47" t="s">
        <v>928</v>
      </c>
      <c r="N194" s="27"/>
      <c r="O194" s="40">
        <f>K194+M194</f>
        <v>4260.758</v>
      </c>
      <c r="P194" s="21"/>
    </row>
    <row r="195" spans="3:16" ht="15.75" customHeight="1">
      <c r="C195" s="43" t="s">
        <v>877</v>
      </c>
      <c r="E195" s="89" t="s">
        <v>540</v>
      </c>
      <c r="G195" s="52">
        <v>31230</v>
      </c>
      <c r="H195" s="125">
        <v>38579</v>
      </c>
      <c r="I195" s="162"/>
      <c r="J195" s="34" t="s">
        <v>492</v>
      </c>
      <c r="K195" s="40">
        <v>9269.713</v>
      </c>
      <c r="L195" s="21"/>
      <c r="M195" s="47" t="s">
        <v>928</v>
      </c>
      <c r="N195" s="27"/>
      <c r="O195" s="40">
        <f aca="true" t="shared" si="7" ref="O195:O209">K195+M195</f>
        <v>9269.713</v>
      </c>
      <c r="P195" s="21"/>
    </row>
    <row r="196" spans="3:16" ht="15.75" customHeight="1">
      <c r="C196" s="43" t="s">
        <v>878</v>
      </c>
      <c r="E196" s="48" t="s">
        <v>546</v>
      </c>
      <c r="F196" s="156">
        <v>7</v>
      </c>
      <c r="G196" s="46">
        <v>29542</v>
      </c>
      <c r="H196" s="125">
        <v>40497</v>
      </c>
      <c r="I196" s="162"/>
      <c r="J196" s="34" t="s">
        <v>507</v>
      </c>
      <c r="K196" s="40">
        <v>4736.37</v>
      </c>
      <c r="L196" s="21"/>
      <c r="M196" s="51">
        <v>-655</v>
      </c>
      <c r="N196" s="27"/>
      <c r="O196" s="40">
        <f t="shared" si="7"/>
        <v>4081.37</v>
      </c>
      <c r="P196" s="21"/>
    </row>
    <row r="197" spans="2:16" ht="15.75" customHeight="1">
      <c r="B197" s="9"/>
      <c r="E197" s="3"/>
      <c r="F197" s="163"/>
      <c r="G197" s="46"/>
      <c r="H197" s="107">
        <v>38671</v>
      </c>
      <c r="I197" s="161">
        <v>8</v>
      </c>
      <c r="J197" s="68"/>
      <c r="K197" s="14"/>
      <c r="M197" s="14"/>
      <c r="O197" s="40" t="s">
        <v>13</v>
      </c>
      <c r="P197" s="21"/>
    </row>
    <row r="198" spans="2:16" ht="15.75" customHeight="1">
      <c r="B198" s="9"/>
      <c r="C198" s="43" t="s">
        <v>879</v>
      </c>
      <c r="E198" s="48" t="s">
        <v>547</v>
      </c>
      <c r="G198" s="46">
        <v>31427</v>
      </c>
      <c r="H198" s="125">
        <v>38763</v>
      </c>
      <c r="I198" s="163"/>
      <c r="J198" s="34" t="s">
        <v>426</v>
      </c>
      <c r="K198" s="40">
        <v>4755.916</v>
      </c>
      <c r="L198" s="21"/>
      <c r="M198" s="47" t="s">
        <v>928</v>
      </c>
      <c r="N198" s="27"/>
      <c r="O198" s="40">
        <f t="shared" si="7"/>
        <v>4755.916</v>
      </c>
      <c r="P198" s="21"/>
    </row>
    <row r="199" spans="2:16" ht="15.75" customHeight="1">
      <c r="B199" s="9"/>
      <c r="C199" s="43" t="s">
        <v>880</v>
      </c>
      <c r="E199" s="48" t="s">
        <v>548</v>
      </c>
      <c r="F199" s="156">
        <v>7</v>
      </c>
      <c r="G199" s="46">
        <v>29721</v>
      </c>
      <c r="H199" s="125">
        <v>40678</v>
      </c>
      <c r="I199" s="163"/>
      <c r="J199" s="34" t="s">
        <v>428</v>
      </c>
      <c r="K199" s="40">
        <v>4608.503</v>
      </c>
      <c r="L199" s="21"/>
      <c r="M199" s="51">
        <v>-1064</v>
      </c>
      <c r="N199" s="27"/>
      <c r="O199" s="40">
        <f t="shared" si="7"/>
        <v>3544.5029999999997</v>
      </c>
      <c r="P199" s="21"/>
    </row>
    <row r="200" spans="3:16" ht="15.75" customHeight="1">
      <c r="C200" s="43" t="s">
        <v>13</v>
      </c>
      <c r="F200" s="155"/>
      <c r="G200" s="45"/>
      <c r="H200" s="107">
        <v>38852</v>
      </c>
      <c r="I200" s="161">
        <v>8</v>
      </c>
      <c r="J200" s="34"/>
      <c r="K200" s="40"/>
      <c r="L200" s="21"/>
      <c r="M200" s="40"/>
      <c r="N200" s="21"/>
      <c r="O200" s="40" t="s">
        <v>13</v>
      </c>
      <c r="P200" s="21"/>
    </row>
    <row r="201" spans="3:16" ht="15.75" customHeight="1">
      <c r="C201" s="43" t="s">
        <v>881</v>
      </c>
      <c r="E201" s="48" t="s">
        <v>549</v>
      </c>
      <c r="F201" s="156">
        <v>7</v>
      </c>
      <c r="G201" s="46">
        <v>29906</v>
      </c>
      <c r="H201" s="125">
        <v>40862</v>
      </c>
      <c r="I201" s="162"/>
      <c r="J201" s="34" t="s">
        <v>507</v>
      </c>
      <c r="K201" s="40">
        <v>4900.545</v>
      </c>
      <c r="L201" s="21"/>
      <c r="M201" s="51">
        <v>-852.1</v>
      </c>
      <c r="N201" s="27"/>
      <c r="O201" s="40">
        <f t="shared" si="7"/>
        <v>4048.445</v>
      </c>
      <c r="P201" s="21"/>
    </row>
    <row r="202" spans="6:16" ht="15.75" customHeight="1">
      <c r="F202" s="155"/>
      <c r="G202" s="45"/>
      <c r="H202" s="107">
        <v>39036</v>
      </c>
      <c r="I202" s="161">
        <v>8</v>
      </c>
      <c r="J202" s="34"/>
      <c r="K202" s="40"/>
      <c r="L202" s="21"/>
      <c r="M202" s="40"/>
      <c r="N202" s="21"/>
      <c r="O202" s="40" t="s">
        <v>13</v>
      </c>
      <c r="P202" s="21"/>
    </row>
    <row r="203" spans="3:16" ht="15.75" customHeight="1">
      <c r="C203" s="43" t="s">
        <v>178</v>
      </c>
      <c r="E203" s="48" t="s">
        <v>543</v>
      </c>
      <c r="F203" s="156">
        <v>7</v>
      </c>
      <c r="G203" s="46">
        <v>30270</v>
      </c>
      <c r="H203" s="125">
        <v>41228</v>
      </c>
      <c r="I203" s="162"/>
      <c r="J203" s="34" t="s">
        <v>507</v>
      </c>
      <c r="K203" s="40">
        <v>11031.518</v>
      </c>
      <c r="L203" s="21"/>
      <c r="M203" s="51">
        <v>-905.5</v>
      </c>
      <c r="N203" s="21"/>
      <c r="O203" s="40">
        <f t="shared" si="7"/>
        <v>10126.018</v>
      </c>
      <c r="P203" s="21"/>
    </row>
    <row r="204" spans="3:16" ht="15.75" customHeight="1">
      <c r="C204" s="43"/>
      <c r="E204" s="48"/>
      <c r="F204" s="155"/>
      <c r="G204" s="46"/>
      <c r="H204" s="107">
        <v>39401</v>
      </c>
      <c r="I204" s="161">
        <v>8</v>
      </c>
      <c r="J204" s="34"/>
      <c r="K204" s="40"/>
      <c r="L204" s="21"/>
      <c r="M204" s="47"/>
      <c r="N204" s="27"/>
      <c r="O204" s="40" t="s">
        <v>13</v>
      </c>
      <c r="P204" s="21"/>
    </row>
    <row r="205" spans="3:16" ht="15.75" customHeight="1">
      <c r="C205" s="43" t="s">
        <v>179</v>
      </c>
      <c r="E205" s="48" t="s">
        <v>545</v>
      </c>
      <c r="F205" s="156">
        <v>7</v>
      </c>
      <c r="G205" s="46">
        <v>30543</v>
      </c>
      <c r="H205" s="125">
        <v>41501</v>
      </c>
      <c r="I205" s="162"/>
      <c r="J205" s="34" t="s">
        <v>492</v>
      </c>
      <c r="K205" s="40">
        <v>14755.363</v>
      </c>
      <c r="L205" s="21"/>
      <c r="M205" s="51">
        <v>-2838.3</v>
      </c>
      <c r="N205" s="188"/>
      <c r="O205" s="40">
        <f t="shared" si="7"/>
        <v>11917.062999999998</v>
      </c>
      <c r="P205" s="21"/>
    </row>
    <row r="206" spans="6:16" ht="15.75" customHeight="1">
      <c r="F206" s="155"/>
      <c r="G206" s="45"/>
      <c r="H206" s="107">
        <v>39675</v>
      </c>
      <c r="I206" s="161">
        <v>8</v>
      </c>
      <c r="J206" s="34"/>
      <c r="K206" s="40"/>
      <c r="L206" s="21"/>
      <c r="M206" s="40"/>
      <c r="N206" s="21"/>
      <c r="O206" s="40" t="s">
        <v>13</v>
      </c>
      <c r="P206" s="21"/>
    </row>
    <row r="207" spans="3:16" ht="15.75" customHeight="1">
      <c r="C207" s="43" t="s">
        <v>180</v>
      </c>
      <c r="E207" s="48" t="s">
        <v>550</v>
      </c>
      <c r="F207" s="156">
        <v>7</v>
      </c>
      <c r="G207" s="46">
        <v>30817</v>
      </c>
      <c r="H207" s="125">
        <v>41774</v>
      </c>
      <c r="I207" s="162"/>
      <c r="J207" s="34" t="s">
        <v>428</v>
      </c>
      <c r="K207" s="40">
        <v>5007.367</v>
      </c>
      <c r="L207" s="21"/>
      <c r="M207" s="51">
        <v>-526.6</v>
      </c>
      <c r="N207" s="27"/>
      <c r="O207" s="40">
        <f t="shared" si="7"/>
        <v>4480.767</v>
      </c>
      <c r="P207" s="21"/>
    </row>
    <row r="208" spans="6:16" ht="15.75" customHeight="1">
      <c r="F208" s="155"/>
      <c r="G208" s="45"/>
      <c r="H208" s="107">
        <v>39948</v>
      </c>
      <c r="I208" s="161">
        <v>8</v>
      </c>
      <c r="J208" s="34"/>
      <c r="K208" s="40"/>
      <c r="L208" s="21"/>
      <c r="M208" s="40"/>
      <c r="N208" s="21"/>
      <c r="O208" s="40" t="s">
        <v>13</v>
      </c>
      <c r="P208" s="21"/>
    </row>
    <row r="209" spans="3:16" ht="15.75" customHeight="1">
      <c r="C209" s="43" t="s">
        <v>181</v>
      </c>
      <c r="E209" s="48" t="s">
        <v>551</v>
      </c>
      <c r="F209" s="156">
        <v>7</v>
      </c>
      <c r="G209" s="46">
        <v>30909</v>
      </c>
      <c r="H209" s="125">
        <v>41866</v>
      </c>
      <c r="I209" s="162"/>
      <c r="J209" s="34" t="s">
        <v>492</v>
      </c>
      <c r="K209" s="40">
        <v>5128.392</v>
      </c>
      <c r="L209" s="21"/>
      <c r="M209" s="51">
        <v>-740.4</v>
      </c>
      <c r="N209" s="27"/>
      <c r="O209" s="40">
        <f t="shared" si="7"/>
        <v>4387.992</v>
      </c>
      <c r="P209" s="21"/>
    </row>
    <row r="210" spans="6:16" ht="15.75" customHeight="1">
      <c r="F210" s="155"/>
      <c r="G210" s="45"/>
      <c r="H210" s="107">
        <v>40040</v>
      </c>
      <c r="I210" s="161">
        <v>8</v>
      </c>
      <c r="J210" s="34"/>
      <c r="K210" s="40"/>
      <c r="L210" s="21"/>
      <c r="M210" s="40"/>
      <c r="N210" s="21"/>
      <c r="O210" s="40" t="s">
        <v>13</v>
      </c>
      <c r="P210" s="21"/>
    </row>
    <row r="211" spans="3:16" ht="15.75" customHeight="1">
      <c r="C211" s="43" t="s">
        <v>182</v>
      </c>
      <c r="E211" s="48" t="s">
        <v>537</v>
      </c>
      <c r="F211" s="156"/>
      <c r="G211" s="46">
        <v>31001</v>
      </c>
      <c r="H211" s="125">
        <v>41958</v>
      </c>
      <c r="I211" s="162"/>
      <c r="J211" s="34" t="s">
        <v>507</v>
      </c>
      <c r="K211" s="40">
        <v>6005.584</v>
      </c>
      <c r="L211" s="21"/>
      <c r="M211" s="51">
        <v>-990.3</v>
      </c>
      <c r="N211" s="188"/>
      <c r="O211" s="40">
        <f>K211+M211</f>
        <v>5015.284</v>
      </c>
      <c r="P211" s="21"/>
    </row>
    <row r="212" spans="6:16" ht="15.75" customHeight="1">
      <c r="F212" s="160"/>
      <c r="G212" s="45"/>
      <c r="H212" s="107">
        <v>40132</v>
      </c>
      <c r="I212" s="161">
        <v>8</v>
      </c>
      <c r="J212" s="34"/>
      <c r="K212" s="40"/>
      <c r="L212" s="21"/>
      <c r="M212" s="40"/>
      <c r="N212" s="21"/>
      <c r="O212" s="40" t="s">
        <v>13</v>
      </c>
      <c r="P212" s="21"/>
    </row>
    <row r="213" spans="3:16" ht="15.75" customHeight="1">
      <c r="C213" s="43" t="s">
        <v>186</v>
      </c>
      <c r="E213" s="48" t="s">
        <v>552</v>
      </c>
      <c r="F213" s="156"/>
      <c r="G213" s="46">
        <v>31093</v>
      </c>
      <c r="H213" s="133">
        <v>42050</v>
      </c>
      <c r="I213" s="3"/>
      <c r="J213" s="34" t="s">
        <v>426</v>
      </c>
      <c r="K213" s="40">
        <v>12667.799</v>
      </c>
      <c r="L213" s="21"/>
      <c r="M213" s="51">
        <v>-2147.5</v>
      </c>
      <c r="N213" s="27"/>
      <c r="O213" s="40">
        <f>K213+M213</f>
        <v>10520.299</v>
      </c>
      <c r="P213" s="21"/>
    </row>
    <row r="214" spans="3:16" ht="15.75" customHeight="1">
      <c r="C214" s="43" t="s">
        <v>187</v>
      </c>
      <c r="E214" s="48" t="s">
        <v>553</v>
      </c>
      <c r="F214" s="156"/>
      <c r="G214" s="46">
        <v>31274</v>
      </c>
      <c r="H214" s="133">
        <v>42231</v>
      </c>
      <c r="I214" s="3"/>
      <c r="J214" s="34" t="s">
        <v>492</v>
      </c>
      <c r="K214" s="40">
        <v>7149.916</v>
      </c>
      <c r="L214" s="21"/>
      <c r="M214" s="51">
        <v>-3126</v>
      </c>
      <c r="N214" s="27"/>
      <c r="O214" s="40">
        <f>K214+M214</f>
        <v>4023.916</v>
      </c>
      <c r="P214" s="21"/>
    </row>
    <row r="215" spans="3:16" ht="15.75" customHeight="1">
      <c r="C215" s="43" t="s">
        <v>188</v>
      </c>
      <c r="E215" s="48" t="s">
        <v>1163</v>
      </c>
      <c r="F215" s="156"/>
      <c r="G215" s="46">
        <v>31380</v>
      </c>
      <c r="H215" s="133">
        <v>42323</v>
      </c>
      <c r="I215" s="3"/>
      <c r="J215" s="34" t="s">
        <v>507</v>
      </c>
      <c r="K215" s="40">
        <v>6899.859</v>
      </c>
      <c r="L215" s="21"/>
      <c r="M215" s="51">
        <v>-1315</v>
      </c>
      <c r="N215" s="27"/>
      <c r="O215" s="40">
        <f>K215+M215</f>
        <v>5584.859</v>
      </c>
      <c r="P215" s="21"/>
    </row>
    <row r="216" spans="3:16" ht="15.75" customHeight="1">
      <c r="C216" s="43" t="s">
        <v>189</v>
      </c>
      <c r="E216" s="48" t="s">
        <v>1164</v>
      </c>
      <c r="F216" s="156"/>
      <c r="G216" s="46">
        <v>31461</v>
      </c>
      <c r="H216" s="133">
        <v>42415</v>
      </c>
      <c r="I216" s="3"/>
      <c r="J216" s="34" t="s">
        <v>426</v>
      </c>
      <c r="K216" s="40">
        <v>7266.854</v>
      </c>
      <c r="L216" s="21"/>
      <c r="M216" s="51">
        <v>-1835.1</v>
      </c>
      <c r="N216" s="27"/>
      <c r="O216" s="40">
        <f aca="true" t="shared" si="8" ref="O216:O242">K216+M216</f>
        <v>5431.754000000001</v>
      </c>
      <c r="P216" s="21"/>
    </row>
    <row r="217" spans="3:16" ht="15.75" customHeight="1">
      <c r="C217" s="43" t="s">
        <v>190</v>
      </c>
      <c r="E217" s="48" t="s">
        <v>535</v>
      </c>
      <c r="F217" s="156"/>
      <c r="G217" s="46">
        <v>31547</v>
      </c>
      <c r="H217" s="133">
        <v>42505</v>
      </c>
      <c r="I217" s="3"/>
      <c r="J217" s="34" t="s">
        <v>428</v>
      </c>
      <c r="K217" s="40">
        <v>18823.551</v>
      </c>
      <c r="L217" s="21"/>
      <c r="M217" s="47" t="s">
        <v>928</v>
      </c>
      <c r="N217" s="27"/>
      <c r="O217" s="40">
        <f t="shared" si="8"/>
        <v>18823.551</v>
      </c>
      <c r="P217" s="21"/>
    </row>
    <row r="218" spans="3:16" ht="15.75" customHeight="1">
      <c r="C218" s="43" t="s">
        <v>191</v>
      </c>
      <c r="E218" s="48" t="s">
        <v>523</v>
      </c>
      <c r="F218" s="156"/>
      <c r="G218" s="46">
        <v>31733</v>
      </c>
      <c r="H218" s="133">
        <v>42689</v>
      </c>
      <c r="I218" s="3"/>
      <c r="J218" s="34" t="s">
        <v>507</v>
      </c>
      <c r="K218" s="40">
        <v>18864.448</v>
      </c>
      <c r="L218" s="21"/>
      <c r="M218" s="51">
        <v>-77</v>
      </c>
      <c r="N218" s="27"/>
      <c r="O218" s="40">
        <f t="shared" si="8"/>
        <v>18787.448</v>
      </c>
      <c r="P218" s="21"/>
    </row>
    <row r="219" spans="3:16" ht="15.75" customHeight="1">
      <c r="C219" s="43" t="s">
        <v>192</v>
      </c>
      <c r="E219" s="48" t="s">
        <v>531</v>
      </c>
      <c r="F219" s="156"/>
      <c r="G219" s="46">
        <v>31912</v>
      </c>
      <c r="H219" s="133">
        <v>42870</v>
      </c>
      <c r="I219" s="3"/>
      <c r="J219" s="34" t="s">
        <v>428</v>
      </c>
      <c r="K219" s="40">
        <v>18194.169</v>
      </c>
      <c r="L219" s="21"/>
      <c r="M219" s="51">
        <v>-2635</v>
      </c>
      <c r="N219" s="27"/>
      <c r="O219" s="40">
        <f t="shared" si="8"/>
        <v>15559.169000000002</v>
      </c>
      <c r="P219" s="21"/>
    </row>
    <row r="220" spans="3:16" ht="15.75" customHeight="1">
      <c r="C220" s="43" t="s">
        <v>193</v>
      </c>
      <c r="E220" s="48" t="s">
        <v>945</v>
      </c>
      <c r="F220" s="156"/>
      <c r="G220" s="46">
        <v>32006</v>
      </c>
      <c r="H220" s="133">
        <v>42962</v>
      </c>
      <c r="I220" s="3"/>
      <c r="J220" s="34" t="s">
        <v>492</v>
      </c>
      <c r="K220" s="40">
        <v>14016.858</v>
      </c>
      <c r="L220" s="21"/>
      <c r="M220" s="51">
        <v>-3048.5</v>
      </c>
      <c r="N220" s="27"/>
      <c r="O220" s="40">
        <f t="shared" si="8"/>
        <v>10968.358</v>
      </c>
      <c r="P220" s="21"/>
    </row>
    <row r="221" spans="3:16" ht="15.75" customHeight="1">
      <c r="C221" s="43" t="s">
        <v>194</v>
      </c>
      <c r="E221" s="48" t="s">
        <v>506</v>
      </c>
      <c r="F221" s="156"/>
      <c r="G221" s="46">
        <v>32279</v>
      </c>
      <c r="H221" s="133">
        <v>43235</v>
      </c>
      <c r="I221" s="3"/>
      <c r="J221" s="34" t="s">
        <v>428</v>
      </c>
      <c r="K221" s="40">
        <v>8708.639</v>
      </c>
      <c r="L221" s="21"/>
      <c r="M221" s="51">
        <v>-1991.2</v>
      </c>
      <c r="N221" s="27"/>
      <c r="O221" s="40">
        <f t="shared" si="8"/>
        <v>6717.438999999999</v>
      </c>
      <c r="P221" s="21"/>
    </row>
    <row r="222" spans="3:16" ht="15.75" customHeight="1">
      <c r="C222" s="43" t="s">
        <v>195</v>
      </c>
      <c r="E222" s="48" t="s">
        <v>1165</v>
      </c>
      <c r="F222" s="156"/>
      <c r="G222" s="46">
        <v>32469</v>
      </c>
      <c r="H222" s="133">
        <v>43419</v>
      </c>
      <c r="I222" s="3"/>
      <c r="J222" s="34" t="s">
        <v>507</v>
      </c>
      <c r="K222" s="40">
        <v>9032.87</v>
      </c>
      <c r="L222" s="21"/>
      <c r="M222" s="51">
        <v>-1858.4</v>
      </c>
      <c r="N222" s="27"/>
      <c r="O222" s="40">
        <f t="shared" si="8"/>
        <v>7174.470000000001</v>
      </c>
      <c r="P222" s="21"/>
    </row>
    <row r="223" spans="3:16" ht="15.75" customHeight="1">
      <c r="C223" s="43" t="s">
        <v>196</v>
      </c>
      <c r="E223" s="48" t="s">
        <v>945</v>
      </c>
      <c r="F223" s="156"/>
      <c r="G223" s="46">
        <v>32554</v>
      </c>
      <c r="H223" s="133">
        <v>43511</v>
      </c>
      <c r="I223" s="3"/>
      <c r="J223" s="34" t="s">
        <v>426</v>
      </c>
      <c r="K223" s="40">
        <v>19250.798</v>
      </c>
      <c r="L223" s="21"/>
      <c r="M223" s="51">
        <v>-6160.3</v>
      </c>
      <c r="N223" s="27"/>
      <c r="O223" s="40">
        <f t="shared" si="8"/>
        <v>13090.498</v>
      </c>
      <c r="P223" s="21"/>
    </row>
    <row r="224" spans="3:16" ht="15.75" customHeight="1">
      <c r="C224" s="43" t="s">
        <v>197</v>
      </c>
      <c r="E224" s="48" t="s">
        <v>1169</v>
      </c>
      <c r="F224" s="156"/>
      <c r="G224" s="46">
        <v>32735</v>
      </c>
      <c r="H224" s="133">
        <v>43692</v>
      </c>
      <c r="I224" s="3"/>
      <c r="J224" s="34" t="s">
        <v>492</v>
      </c>
      <c r="K224" s="40">
        <v>20213.832</v>
      </c>
      <c r="L224" s="21"/>
      <c r="M224" s="51">
        <v>-1272.9</v>
      </c>
      <c r="N224" s="27"/>
      <c r="O224" s="40">
        <f t="shared" si="8"/>
        <v>18940.931999999997</v>
      </c>
      <c r="P224" s="21"/>
    </row>
    <row r="225" spans="3:16" ht="15.75" customHeight="1">
      <c r="C225" s="43" t="s">
        <v>198</v>
      </c>
      <c r="E225" s="48" t="s">
        <v>529</v>
      </c>
      <c r="F225" s="156"/>
      <c r="G225" s="46">
        <v>32919</v>
      </c>
      <c r="H225" s="133">
        <v>43876</v>
      </c>
      <c r="I225" s="3"/>
      <c r="J225" s="34" t="s">
        <v>426</v>
      </c>
      <c r="K225" s="40">
        <v>10228.868</v>
      </c>
      <c r="L225" s="21"/>
      <c r="M225" s="51">
        <v>-752.6</v>
      </c>
      <c r="N225" s="27"/>
      <c r="O225" s="40">
        <f t="shared" si="8"/>
        <v>9476.268</v>
      </c>
      <c r="P225" s="21"/>
    </row>
    <row r="226" spans="3:16" ht="15.75" customHeight="1">
      <c r="C226" s="43" t="s">
        <v>199</v>
      </c>
      <c r="E226" s="48" t="s">
        <v>531</v>
      </c>
      <c r="F226" s="156"/>
      <c r="G226" s="46">
        <v>33008</v>
      </c>
      <c r="H226" s="133">
        <v>43966</v>
      </c>
      <c r="I226" s="3"/>
      <c r="J226" s="34" t="s">
        <v>428</v>
      </c>
      <c r="K226" s="40">
        <v>10158.883</v>
      </c>
      <c r="L226" s="21"/>
      <c r="M226" s="51">
        <v>-2576.7</v>
      </c>
      <c r="N226" s="27"/>
      <c r="O226" s="40">
        <f t="shared" si="8"/>
        <v>7582.183</v>
      </c>
      <c r="P226" s="21"/>
    </row>
    <row r="227" spans="3:16" ht="15.75" customHeight="1">
      <c r="C227" s="43" t="s">
        <v>200</v>
      </c>
      <c r="E227" s="48" t="s">
        <v>531</v>
      </c>
      <c r="F227" s="156"/>
      <c r="G227" s="46">
        <v>33100</v>
      </c>
      <c r="H227" s="133">
        <v>44058</v>
      </c>
      <c r="I227" s="3"/>
      <c r="J227" s="34" t="s">
        <v>492</v>
      </c>
      <c r="K227" s="40">
        <v>21418.606</v>
      </c>
      <c r="L227" s="21"/>
      <c r="M227" s="51">
        <v>-4359.3</v>
      </c>
      <c r="N227" s="27"/>
      <c r="O227" s="40">
        <f t="shared" si="8"/>
        <v>17059.306</v>
      </c>
      <c r="P227" s="21"/>
    </row>
    <row r="228" spans="3:16" ht="15.75" customHeight="1">
      <c r="C228" s="43" t="s">
        <v>201</v>
      </c>
      <c r="E228" s="48" t="s">
        <v>526</v>
      </c>
      <c r="F228" s="156"/>
      <c r="G228" s="46">
        <v>33284</v>
      </c>
      <c r="H228" s="133">
        <v>44242</v>
      </c>
      <c r="I228" s="3"/>
      <c r="J228" s="34" t="s">
        <v>426</v>
      </c>
      <c r="K228" s="40">
        <v>11113.373</v>
      </c>
      <c r="L228" s="21"/>
      <c r="M228" s="51">
        <v>-1037.8</v>
      </c>
      <c r="N228" s="27"/>
      <c r="O228" s="40">
        <f t="shared" si="8"/>
        <v>10075.573</v>
      </c>
      <c r="P228" s="21"/>
    </row>
    <row r="229" spans="3:16" ht="15.75" customHeight="1">
      <c r="C229" s="43" t="s">
        <v>202</v>
      </c>
      <c r="E229" s="48" t="s">
        <v>1169</v>
      </c>
      <c r="F229" s="156"/>
      <c r="G229" s="46">
        <v>33373</v>
      </c>
      <c r="H229" s="133">
        <v>44331</v>
      </c>
      <c r="I229" s="3"/>
      <c r="J229" s="34" t="s">
        <v>428</v>
      </c>
      <c r="K229" s="40">
        <v>11958.888</v>
      </c>
      <c r="L229" s="21"/>
      <c r="M229" s="51">
        <v>-1892.1</v>
      </c>
      <c r="N229" s="27"/>
      <c r="O229" s="40">
        <f t="shared" si="8"/>
        <v>10066.788</v>
      </c>
      <c r="P229" s="21"/>
    </row>
    <row r="230" spans="3:16" ht="15.75" customHeight="1">
      <c r="C230" s="43" t="s">
        <v>203</v>
      </c>
      <c r="E230" s="48" t="s">
        <v>1169</v>
      </c>
      <c r="F230" s="156"/>
      <c r="G230" s="46">
        <v>33465</v>
      </c>
      <c r="H230" s="133">
        <v>44423</v>
      </c>
      <c r="I230" s="3"/>
      <c r="J230" s="34" t="s">
        <v>492</v>
      </c>
      <c r="K230" s="40">
        <v>12163.482</v>
      </c>
      <c r="L230" s="21"/>
      <c r="M230" s="51">
        <v>-2657.1</v>
      </c>
      <c r="N230" s="27"/>
      <c r="O230" s="40">
        <f t="shared" si="8"/>
        <v>9506.382</v>
      </c>
      <c r="P230" s="21"/>
    </row>
    <row r="231" spans="3:16" ht="15.75" customHeight="1">
      <c r="C231" s="43" t="s">
        <v>204</v>
      </c>
      <c r="E231" s="48">
        <v>8</v>
      </c>
      <c r="F231" s="156"/>
      <c r="G231" s="46">
        <v>33557</v>
      </c>
      <c r="H231" s="133">
        <v>44515</v>
      </c>
      <c r="I231" s="3"/>
      <c r="J231" s="34" t="s">
        <v>507</v>
      </c>
      <c r="K231" s="40">
        <v>32798.394</v>
      </c>
      <c r="L231" s="21"/>
      <c r="M231" s="51">
        <v>-2166.2</v>
      </c>
      <c r="N231" s="27"/>
      <c r="O231" s="40">
        <f t="shared" si="8"/>
        <v>30632.194</v>
      </c>
      <c r="P231" s="21"/>
    </row>
    <row r="232" spans="3:16" ht="15.75" customHeight="1">
      <c r="C232" s="43" t="s">
        <v>205</v>
      </c>
      <c r="E232" s="48" t="s">
        <v>535</v>
      </c>
      <c r="F232" s="156"/>
      <c r="G232" s="46">
        <v>33833</v>
      </c>
      <c r="H232" s="133">
        <v>44788</v>
      </c>
      <c r="I232" s="3"/>
      <c r="J232" s="34" t="s">
        <v>492</v>
      </c>
      <c r="K232" s="40">
        <v>10352.79</v>
      </c>
      <c r="L232" s="21"/>
      <c r="M232" s="51">
        <v>-225</v>
      </c>
      <c r="N232" s="27"/>
      <c r="O232" s="40">
        <f t="shared" si="8"/>
        <v>10127.79</v>
      </c>
      <c r="P232" s="21"/>
    </row>
    <row r="233" spans="3:16" ht="15.75" customHeight="1">
      <c r="C233" s="43" t="s">
        <v>206</v>
      </c>
      <c r="E233" s="48" t="s">
        <v>538</v>
      </c>
      <c r="F233" s="156"/>
      <c r="G233" s="46">
        <v>33924</v>
      </c>
      <c r="H233" s="133">
        <v>44880</v>
      </c>
      <c r="I233" s="3"/>
      <c r="J233" s="34" t="s">
        <v>507</v>
      </c>
      <c r="K233" s="40">
        <v>10699.626</v>
      </c>
      <c r="L233" s="21"/>
      <c r="M233" s="51">
        <v>-3276</v>
      </c>
      <c r="N233" s="27"/>
      <c r="O233" s="40">
        <f t="shared" si="8"/>
        <v>7423.626</v>
      </c>
      <c r="P233" s="21"/>
    </row>
    <row r="234" spans="3:16" ht="15.75" customHeight="1">
      <c r="C234" s="43" t="s">
        <v>207</v>
      </c>
      <c r="E234" s="48" t="s">
        <v>520</v>
      </c>
      <c r="F234" s="156"/>
      <c r="G234" s="46">
        <v>34016</v>
      </c>
      <c r="H234" s="133">
        <v>44972</v>
      </c>
      <c r="I234" s="3"/>
      <c r="J234" s="34" t="s">
        <v>426</v>
      </c>
      <c r="K234" s="40">
        <v>18374.361</v>
      </c>
      <c r="L234" s="21"/>
      <c r="M234" s="51">
        <v>-2592.3</v>
      </c>
      <c r="N234" s="27"/>
      <c r="O234" s="40">
        <f t="shared" si="8"/>
        <v>15782.061000000002</v>
      </c>
      <c r="P234" s="21"/>
    </row>
    <row r="235" spans="3:16" ht="15.75" customHeight="1">
      <c r="C235" s="43" t="s">
        <v>208</v>
      </c>
      <c r="E235" s="48" t="s">
        <v>498</v>
      </c>
      <c r="F235" s="156"/>
      <c r="G235" s="46">
        <v>34197</v>
      </c>
      <c r="H235" s="133">
        <v>45153</v>
      </c>
      <c r="I235" s="3"/>
      <c r="J235" s="34" t="s">
        <v>492</v>
      </c>
      <c r="K235" s="40">
        <v>22909.044</v>
      </c>
      <c r="L235" s="21"/>
      <c r="M235" s="51">
        <v>-250</v>
      </c>
      <c r="N235" s="27"/>
      <c r="O235" s="40">
        <f t="shared" si="8"/>
        <v>22659.044</v>
      </c>
      <c r="P235" s="21"/>
    </row>
    <row r="236" spans="3:16" ht="15.75" customHeight="1">
      <c r="C236" s="43" t="s">
        <v>209</v>
      </c>
      <c r="E236" s="48" t="s">
        <v>523</v>
      </c>
      <c r="F236" s="156"/>
      <c r="G236" s="46">
        <v>34561</v>
      </c>
      <c r="H236" s="133">
        <v>45611</v>
      </c>
      <c r="I236" s="3"/>
      <c r="J236" s="34" t="s">
        <v>428</v>
      </c>
      <c r="K236" s="40">
        <v>11469.662</v>
      </c>
      <c r="L236" s="21"/>
      <c r="M236" s="51">
        <v>-1865.5</v>
      </c>
      <c r="N236" s="27"/>
      <c r="O236" s="40">
        <f t="shared" si="8"/>
        <v>9604.162</v>
      </c>
      <c r="P236" s="21"/>
    </row>
    <row r="237" spans="3:16" ht="15.75" customHeight="1">
      <c r="C237" s="43" t="s">
        <v>210</v>
      </c>
      <c r="E237" s="48" t="s">
        <v>538</v>
      </c>
      <c r="F237" s="156"/>
      <c r="G237" s="46">
        <v>34745</v>
      </c>
      <c r="H237" s="133">
        <v>45703</v>
      </c>
      <c r="I237" s="3"/>
      <c r="J237" s="34" t="s">
        <v>426</v>
      </c>
      <c r="K237" s="40">
        <v>11725.17</v>
      </c>
      <c r="L237" s="21"/>
      <c r="M237" s="51">
        <v>-2216</v>
      </c>
      <c r="N237" s="27"/>
      <c r="O237" s="40">
        <f t="shared" si="8"/>
        <v>9509.17</v>
      </c>
      <c r="P237" s="21"/>
    </row>
    <row r="238" spans="3:16" ht="15.75" customHeight="1">
      <c r="C238" s="43" t="s">
        <v>211</v>
      </c>
      <c r="E238" s="48" t="s">
        <v>515</v>
      </c>
      <c r="F238" s="156"/>
      <c r="G238" s="46">
        <v>34926</v>
      </c>
      <c r="H238" s="133">
        <v>45884</v>
      </c>
      <c r="I238" s="3"/>
      <c r="J238" s="34" t="s">
        <v>492</v>
      </c>
      <c r="K238" s="40">
        <v>12602.007</v>
      </c>
      <c r="L238" s="21"/>
      <c r="M238" s="51">
        <v>-1414.8</v>
      </c>
      <c r="N238" s="27"/>
      <c r="O238" s="40">
        <f t="shared" si="8"/>
        <v>11187.207</v>
      </c>
      <c r="P238" s="21"/>
    </row>
    <row r="239" spans="3:16" ht="15.75" customHeight="1">
      <c r="C239" s="43" t="s">
        <v>212</v>
      </c>
      <c r="E239" s="48" t="s">
        <v>512</v>
      </c>
      <c r="F239" s="156"/>
      <c r="G239" s="46">
        <v>35110</v>
      </c>
      <c r="H239" s="133">
        <v>46068</v>
      </c>
      <c r="I239" s="3"/>
      <c r="J239" s="34" t="s">
        <v>426</v>
      </c>
      <c r="K239" s="40">
        <v>12904.916</v>
      </c>
      <c r="L239" s="21"/>
      <c r="M239" s="51">
        <v>-67</v>
      </c>
      <c r="N239" s="27"/>
      <c r="O239" s="40">
        <f t="shared" si="8"/>
        <v>12837.916</v>
      </c>
      <c r="P239" s="21"/>
    </row>
    <row r="240" spans="3:16" ht="15.75" customHeight="1">
      <c r="C240" s="43" t="s">
        <v>213</v>
      </c>
      <c r="E240" s="48" t="s">
        <v>509</v>
      </c>
      <c r="F240" s="156"/>
      <c r="G240" s="90">
        <v>35292</v>
      </c>
      <c r="H240" s="134">
        <v>46249</v>
      </c>
      <c r="I240" s="3"/>
      <c r="J240" s="34" t="s">
        <v>492</v>
      </c>
      <c r="K240" s="40">
        <v>10893.818</v>
      </c>
      <c r="L240" s="21"/>
      <c r="M240" s="51">
        <v>-2083.4</v>
      </c>
      <c r="N240" s="27"/>
      <c r="O240" s="40">
        <f t="shared" si="8"/>
        <v>8810.418</v>
      </c>
      <c r="P240" s="21"/>
    </row>
    <row r="241" spans="3:16" ht="15.75" customHeight="1">
      <c r="C241" s="43" t="s">
        <v>661</v>
      </c>
      <c r="E241" s="48" t="s">
        <v>503</v>
      </c>
      <c r="F241" s="156"/>
      <c r="G241" s="90">
        <v>35384</v>
      </c>
      <c r="H241" s="134">
        <v>46341</v>
      </c>
      <c r="I241" s="3"/>
      <c r="J241" s="34" t="s">
        <v>507</v>
      </c>
      <c r="K241" s="40">
        <v>11493.177</v>
      </c>
      <c r="L241" s="21"/>
      <c r="M241" s="51">
        <v>-633</v>
      </c>
      <c r="N241" s="27"/>
      <c r="O241" s="40">
        <f t="shared" si="8"/>
        <v>10860.177</v>
      </c>
      <c r="P241" s="21"/>
    </row>
    <row r="242" spans="3:16" ht="15.75" customHeight="1">
      <c r="C242" s="43" t="s">
        <v>268</v>
      </c>
      <c r="E242" s="48" t="s">
        <v>533</v>
      </c>
      <c r="F242" s="156"/>
      <c r="G242" s="90">
        <v>35479</v>
      </c>
      <c r="H242" s="134">
        <v>46433</v>
      </c>
      <c r="I242" s="3"/>
      <c r="J242" s="34" t="s">
        <v>426</v>
      </c>
      <c r="K242" s="40">
        <v>10456.071</v>
      </c>
      <c r="L242" s="21"/>
      <c r="M242" s="51">
        <v>-934.1</v>
      </c>
      <c r="N242" s="27"/>
      <c r="O242" s="40">
        <f t="shared" si="8"/>
        <v>9521.971</v>
      </c>
      <c r="P242" s="21"/>
    </row>
    <row r="243" spans="3:16" ht="15.75" customHeight="1">
      <c r="C243" s="43" t="s">
        <v>884</v>
      </c>
      <c r="E243" s="48" t="s">
        <v>939</v>
      </c>
      <c r="F243" s="156"/>
      <c r="G243" s="90">
        <v>35657</v>
      </c>
      <c r="H243" s="134">
        <v>46614</v>
      </c>
      <c r="I243" s="3"/>
      <c r="J243" s="34" t="s">
        <v>492</v>
      </c>
      <c r="K243" s="40">
        <v>10735.756</v>
      </c>
      <c r="L243" s="21"/>
      <c r="M243" s="51">
        <v>-1539</v>
      </c>
      <c r="N243" s="27"/>
      <c r="O243" s="40">
        <f aca="true" t="shared" si="9" ref="O243:O252">K243+M243</f>
        <v>9196.756</v>
      </c>
      <c r="P243" s="21"/>
    </row>
    <row r="244" spans="3:16" ht="14.25" customHeight="1">
      <c r="C244" s="43" t="s">
        <v>1108</v>
      </c>
      <c r="E244" s="48" t="s">
        <v>530</v>
      </c>
      <c r="F244" s="156"/>
      <c r="G244" s="90">
        <v>35751</v>
      </c>
      <c r="H244" s="134">
        <v>46706</v>
      </c>
      <c r="I244" s="3"/>
      <c r="J244" s="34" t="s">
        <v>507</v>
      </c>
      <c r="K244" s="40">
        <v>22518.539</v>
      </c>
      <c r="L244" s="21"/>
      <c r="M244" s="51">
        <v>-497.2</v>
      </c>
      <c r="N244" s="27"/>
      <c r="O244" s="40">
        <f t="shared" si="9"/>
        <v>22021.339</v>
      </c>
      <c r="P244" s="21"/>
    </row>
    <row r="245" spans="3:16" ht="15.75" customHeight="1">
      <c r="C245" s="43" t="s">
        <v>217</v>
      </c>
      <c r="E245" s="89" t="s">
        <v>494</v>
      </c>
      <c r="F245" s="156"/>
      <c r="G245" s="90">
        <v>36024</v>
      </c>
      <c r="H245" s="134">
        <v>46980</v>
      </c>
      <c r="I245" s="3"/>
      <c r="J245" s="34" t="s">
        <v>492</v>
      </c>
      <c r="K245" s="40">
        <v>11776.201</v>
      </c>
      <c r="L245" s="21"/>
      <c r="M245" s="47" t="s">
        <v>928</v>
      </c>
      <c r="N245" s="27"/>
      <c r="O245" s="40">
        <f t="shared" si="9"/>
        <v>11776.201</v>
      </c>
      <c r="P245" s="21"/>
    </row>
    <row r="246" spans="3:16" ht="16.5" customHeight="1">
      <c r="C246" s="43" t="s">
        <v>249</v>
      </c>
      <c r="E246" s="89" t="s">
        <v>532</v>
      </c>
      <c r="F246" s="156"/>
      <c r="G246" s="90">
        <v>36115</v>
      </c>
      <c r="H246" s="134">
        <v>47072</v>
      </c>
      <c r="I246" s="3"/>
      <c r="J246" s="34" t="s">
        <v>507</v>
      </c>
      <c r="K246" s="40">
        <v>10947.052</v>
      </c>
      <c r="L246" s="21"/>
      <c r="M246" s="47" t="s">
        <v>928</v>
      </c>
      <c r="N246" s="27"/>
      <c r="O246" s="40">
        <f t="shared" si="9"/>
        <v>10947.052</v>
      </c>
      <c r="P246" s="21"/>
    </row>
    <row r="247" spans="3:16" ht="15.75" customHeight="1">
      <c r="C247" s="43" t="s">
        <v>1107</v>
      </c>
      <c r="E247" s="89" t="s">
        <v>532</v>
      </c>
      <c r="F247" s="156"/>
      <c r="G247" s="90">
        <v>36207</v>
      </c>
      <c r="H247" s="134">
        <v>47164</v>
      </c>
      <c r="I247" s="3"/>
      <c r="J247" s="34" t="s">
        <v>426</v>
      </c>
      <c r="K247" s="40">
        <v>11350.341</v>
      </c>
      <c r="L247" s="21"/>
      <c r="M247" s="47" t="s">
        <v>928</v>
      </c>
      <c r="N247" s="27"/>
      <c r="O247" s="40">
        <f t="shared" si="9"/>
        <v>11350.341</v>
      </c>
      <c r="P247" s="41"/>
    </row>
    <row r="248" spans="3:16" ht="15.75" customHeight="1">
      <c r="C248" s="43" t="s">
        <v>220</v>
      </c>
      <c r="E248" s="48" t="s">
        <v>530</v>
      </c>
      <c r="F248" s="156"/>
      <c r="G248" s="90">
        <v>36388</v>
      </c>
      <c r="H248" s="134">
        <v>47345</v>
      </c>
      <c r="I248" s="3"/>
      <c r="J248" s="34" t="s">
        <v>492</v>
      </c>
      <c r="K248" s="40">
        <v>11178.58</v>
      </c>
      <c r="L248" s="21"/>
      <c r="M248" s="47" t="s">
        <v>928</v>
      </c>
      <c r="N248" s="27"/>
      <c r="O248" s="40">
        <f t="shared" si="9"/>
        <v>11178.58</v>
      </c>
      <c r="P248" s="21"/>
    </row>
    <row r="249" spans="3:16" ht="15.75" customHeight="1">
      <c r="C249" s="88" t="s">
        <v>221</v>
      </c>
      <c r="E249" s="48" t="s">
        <v>498</v>
      </c>
      <c r="F249" s="156"/>
      <c r="G249" s="90">
        <v>36571</v>
      </c>
      <c r="H249" s="134">
        <v>47618</v>
      </c>
      <c r="I249" s="3"/>
      <c r="J249" s="34" t="s">
        <v>507</v>
      </c>
      <c r="K249" s="40">
        <v>17043.162</v>
      </c>
      <c r="L249" s="21"/>
      <c r="M249" s="47" t="s">
        <v>928</v>
      </c>
      <c r="N249" s="27"/>
      <c r="O249" s="40">
        <f t="shared" si="9"/>
        <v>17043.162</v>
      </c>
      <c r="P249" s="21"/>
    </row>
    <row r="250" spans="3:16" ht="15.75" customHeight="1">
      <c r="C250" s="88" t="s">
        <v>893</v>
      </c>
      <c r="E250" s="89" t="s">
        <v>528</v>
      </c>
      <c r="F250" s="156"/>
      <c r="G250" s="90">
        <v>36937</v>
      </c>
      <c r="H250" s="134">
        <v>47894</v>
      </c>
      <c r="I250" s="3"/>
      <c r="J250" s="34" t="s">
        <v>426</v>
      </c>
      <c r="K250" s="40">
        <v>16427.648</v>
      </c>
      <c r="L250" s="21"/>
      <c r="M250" s="47" t="s">
        <v>928</v>
      </c>
      <c r="N250" s="27"/>
      <c r="O250" s="40">
        <f t="shared" si="9"/>
        <v>16427.648</v>
      </c>
      <c r="P250" s="21"/>
    </row>
    <row r="251" spans="2:16" ht="15.75" customHeight="1">
      <c r="B251" s="9" t="s">
        <v>138</v>
      </c>
      <c r="F251" s="43"/>
      <c r="G251" s="16" t="s">
        <v>929</v>
      </c>
      <c r="H251" s="46" t="s">
        <v>929</v>
      </c>
      <c r="I251" s="3"/>
      <c r="J251" s="34" t="s">
        <v>929</v>
      </c>
      <c r="K251" s="56">
        <f>SUM(K171:K250)</f>
        <v>631746.621</v>
      </c>
      <c r="L251" s="216"/>
      <c r="M251" s="56">
        <f>SUM(M171:M250)</f>
        <v>-67406.3</v>
      </c>
      <c r="N251" s="216"/>
      <c r="O251" s="56">
        <f t="shared" si="9"/>
        <v>564340.321</v>
      </c>
      <c r="P251" s="216"/>
    </row>
    <row r="252" spans="2:16" ht="15.75" customHeight="1">
      <c r="B252" t="s">
        <v>139</v>
      </c>
      <c r="F252" s="43"/>
      <c r="G252" s="16" t="s">
        <v>929</v>
      </c>
      <c r="H252" s="46" t="s">
        <v>929</v>
      </c>
      <c r="I252" s="3"/>
      <c r="J252" s="34" t="s">
        <v>929</v>
      </c>
      <c r="K252" s="56">
        <v>71.80805</v>
      </c>
      <c r="L252" s="21"/>
      <c r="M252" s="47" t="s">
        <v>928</v>
      </c>
      <c r="N252" s="27"/>
      <c r="O252" s="40">
        <f t="shared" si="9"/>
        <v>71.80805</v>
      </c>
      <c r="P252" s="21"/>
    </row>
    <row r="253" spans="2:16" ht="15.75" customHeight="1" thickBot="1">
      <c r="B253" s="75" t="s">
        <v>850</v>
      </c>
      <c r="F253" s="43"/>
      <c r="G253" s="16" t="s">
        <v>929</v>
      </c>
      <c r="H253" s="46" t="s">
        <v>929</v>
      </c>
      <c r="I253" s="3"/>
      <c r="J253" s="34" t="s">
        <v>929</v>
      </c>
      <c r="K253" s="222">
        <f>+K251+K252</f>
        <v>631818.42905</v>
      </c>
      <c r="L253" s="223"/>
      <c r="M253" s="222">
        <f>+M251+M252</f>
        <v>-67406.3</v>
      </c>
      <c r="N253" s="223"/>
      <c r="O253" s="222">
        <f>+K253+M253</f>
        <v>564412.12905</v>
      </c>
      <c r="P253" s="223"/>
    </row>
    <row r="254" spans="2:16" ht="15.75" customHeight="1" thickTop="1">
      <c r="B254" s="75"/>
      <c r="F254" s="43"/>
      <c r="G254" s="97"/>
      <c r="H254" s="189"/>
      <c r="I254" s="3"/>
      <c r="J254" s="131"/>
      <c r="K254" s="273"/>
      <c r="L254" s="273"/>
      <c r="M254" s="273"/>
      <c r="N254" s="273"/>
      <c r="O254" s="273"/>
      <c r="P254" s="273"/>
    </row>
    <row r="255" spans="2:16" ht="15.75" customHeight="1">
      <c r="B255" s="75"/>
      <c r="F255" s="43"/>
      <c r="G255" s="97"/>
      <c r="H255" s="189"/>
      <c r="I255" s="3"/>
      <c r="J255" s="131"/>
      <c r="K255" s="273"/>
      <c r="L255" s="273"/>
      <c r="M255" s="273"/>
      <c r="N255" s="273"/>
      <c r="O255" s="273"/>
      <c r="P255" s="273"/>
    </row>
    <row r="256" spans="2:16" ht="15.75" customHeight="1">
      <c r="B256" s="75"/>
      <c r="F256" s="43"/>
      <c r="G256" s="97"/>
      <c r="H256" s="189"/>
      <c r="I256" s="3"/>
      <c r="J256" s="131"/>
      <c r="K256" s="273"/>
      <c r="L256" s="273"/>
      <c r="M256" s="273"/>
      <c r="N256" s="273"/>
      <c r="O256" s="273"/>
      <c r="P256" s="273"/>
    </row>
    <row r="257" spans="1:16" ht="15.75" customHeight="1" thickBot="1">
      <c r="A257" s="100"/>
      <c r="B257" s="100"/>
      <c r="C257" s="129"/>
      <c r="D257" s="100"/>
      <c r="E257" s="101"/>
      <c r="F257" s="174"/>
      <c r="G257" s="388"/>
      <c r="H257" s="389"/>
      <c r="I257" s="130"/>
      <c r="J257" s="101"/>
      <c r="K257" s="103"/>
      <c r="L257" s="103"/>
      <c r="M257" s="171"/>
      <c r="N257" s="104"/>
      <c r="O257" s="103"/>
      <c r="P257" s="103"/>
    </row>
    <row r="258" spans="1:16" ht="16.5" thickTop="1">
      <c r="A258" s="94"/>
      <c r="B258" s="2" t="str">
        <f>B86</f>
        <v>TABLE III - DETAIL OF TREASURY SECURITIES OUTSTANDING, JANUARY 31, 2004 -- Continued</v>
      </c>
      <c r="C258" s="2"/>
      <c r="D258" s="3"/>
      <c r="E258" s="3"/>
      <c r="F258" s="3"/>
      <c r="G258" s="3"/>
      <c r="H258" s="3"/>
      <c r="I258" s="29"/>
      <c r="J258" s="3"/>
      <c r="K258" s="3"/>
      <c r="L258" s="3"/>
      <c r="M258" s="3"/>
      <c r="N258" s="3"/>
      <c r="O258" s="3"/>
      <c r="P258" s="95">
        <v>5</v>
      </c>
    </row>
    <row r="259" spans="1:16" ht="10.5" customHeight="1" thickBot="1">
      <c r="A259" s="2"/>
      <c r="B259" s="2"/>
      <c r="C259" s="2"/>
      <c r="D259" s="3"/>
      <c r="E259" s="3"/>
      <c r="F259" s="3"/>
      <c r="G259" s="3"/>
      <c r="H259" s="3"/>
      <c r="I259" s="29"/>
      <c r="K259" s="3"/>
      <c r="L259" s="3"/>
      <c r="M259" s="3"/>
      <c r="N259" s="3"/>
      <c r="O259" s="3"/>
      <c r="P259" s="2"/>
    </row>
    <row r="260" spans="1:16" ht="15.75" thickTop="1">
      <c r="A260" s="32"/>
      <c r="B260" s="32"/>
      <c r="C260" s="32"/>
      <c r="D260" s="32"/>
      <c r="E260" s="32"/>
      <c r="F260" s="32"/>
      <c r="G260" s="26"/>
      <c r="H260" s="26"/>
      <c r="I260" s="33"/>
      <c r="J260" s="67"/>
      <c r="K260" s="26"/>
      <c r="L260" s="32"/>
      <c r="M260" s="32"/>
      <c r="N260" s="32"/>
      <c r="O260" s="32"/>
      <c r="P260" s="32"/>
    </row>
    <row r="261" spans="7:16" ht="15.75" customHeight="1">
      <c r="G261" s="16" t="s">
        <v>448</v>
      </c>
      <c r="H261" s="16" t="s">
        <v>449</v>
      </c>
      <c r="I261" s="29"/>
      <c r="J261" s="34" t="s">
        <v>450</v>
      </c>
      <c r="K261" s="16" t="s">
        <v>451</v>
      </c>
      <c r="L261" s="3"/>
      <c r="M261" s="3"/>
      <c r="N261" s="3"/>
      <c r="O261" s="3"/>
      <c r="P261" s="3"/>
    </row>
    <row r="262" spans="1:11" ht="15.75" customHeight="1">
      <c r="A262" s="3" t="s">
        <v>452</v>
      </c>
      <c r="B262" s="3"/>
      <c r="C262" s="3"/>
      <c r="D262" s="3"/>
      <c r="E262" s="3"/>
      <c r="F262" s="3"/>
      <c r="G262" s="16" t="s">
        <v>453</v>
      </c>
      <c r="H262" s="16" t="s">
        <v>454</v>
      </c>
      <c r="I262" s="29"/>
      <c r="J262" s="34" t="s">
        <v>455</v>
      </c>
      <c r="K262" s="14"/>
    </row>
    <row r="263" spans="1:16" ht="16.5" customHeight="1">
      <c r="A263" s="15"/>
      <c r="B263" s="15"/>
      <c r="C263" s="15"/>
      <c r="D263" s="15"/>
      <c r="E263" s="15"/>
      <c r="F263" s="15"/>
      <c r="G263" s="35"/>
      <c r="H263" s="35"/>
      <c r="I263" s="36"/>
      <c r="J263" s="61"/>
      <c r="K263" s="37" t="s">
        <v>456</v>
      </c>
      <c r="L263" s="38"/>
      <c r="M263" s="37" t="s">
        <v>923</v>
      </c>
      <c r="N263" s="38"/>
      <c r="O263" s="37" t="s">
        <v>16</v>
      </c>
      <c r="P263" s="38"/>
    </row>
    <row r="264" spans="1:16" ht="15.75" customHeight="1">
      <c r="A264" s="63"/>
      <c r="B264" s="63"/>
      <c r="C264" s="63"/>
      <c r="D264" s="63"/>
      <c r="E264" s="63"/>
      <c r="F264" s="63"/>
      <c r="G264" s="14"/>
      <c r="H264" s="14"/>
      <c r="I264" s="96"/>
      <c r="J264" s="34"/>
      <c r="K264" s="16"/>
      <c r="L264" s="97"/>
      <c r="M264" s="16"/>
      <c r="N264" s="97"/>
      <c r="O264" s="16"/>
      <c r="P264" s="97"/>
    </row>
    <row r="265" spans="1:16" ht="18" customHeight="1">
      <c r="A265" s="60" t="s">
        <v>1</v>
      </c>
      <c r="B265" s="60"/>
      <c r="F265" s="62"/>
      <c r="G265" s="139"/>
      <c r="H265" s="123"/>
      <c r="I265" s="39"/>
      <c r="J265" s="68"/>
      <c r="K265" s="14"/>
      <c r="M265" s="14"/>
      <c r="O265" s="40"/>
      <c r="P265" s="21"/>
    </row>
    <row r="266" spans="2:15" ht="21" customHeight="1">
      <c r="B266" t="s">
        <v>1170</v>
      </c>
      <c r="C266" s="43"/>
      <c r="D266" s="65"/>
      <c r="F266" s="156" t="s">
        <v>819</v>
      </c>
      <c r="G266" s="45"/>
      <c r="H266" s="45"/>
      <c r="J266" s="34"/>
      <c r="K266" s="14"/>
      <c r="M266" s="14"/>
      <c r="O266" s="14"/>
    </row>
    <row r="267" spans="2:15" ht="17.25" customHeight="1">
      <c r="B267" s="9" t="s">
        <v>926</v>
      </c>
      <c r="D267" s="3" t="s">
        <v>933</v>
      </c>
      <c r="E267" s="3" t="s">
        <v>934</v>
      </c>
      <c r="F267" s="3"/>
      <c r="G267" s="70"/>
      <c r="I267" s="3"/>
      <c r="J267" s="34"/>
      <c r="K267" s="14"/>
      <c r="M267" s="14"/>
      <c r="O267" s="14"/>
    </row>
    <row r="268" spans="3:16" ht="15.75" customHeight="1">
      <c r="C268" s="43" t="s">
        <v>681</v>
      </c>
      <c r="D268" s="48" t="s">
        <v>944</v>
      </c>
      <c r="E268" s="89" t="s">
        <v>1172</v>
      </c>
      <c r="F268" s="156"/>
      <c r="G268" s="46">
        <v>35467</v>
      </c>
      <c r="H268" s="90">
        <v>39097</v>
      </c>
      <c r="I268" s="87"/>
      <c r="J268" s="34" t="s">
        <v>635</v>
      </c>
      <c r="K268" s="40">
        <v>15757.971</v>
      </c>
      <c r="L268" s="21"/>
      <c r="M268" s="112">
        <v>2593.91960631</v>
      </c>
      <c r="N268" s="27"/>
      <c r="O268" s="40">
        <f aca="true" t="shared" si="10" ref="O268:O275">K268+M268</f>
        <v>18351.89060631</v>
      </c>
      <c r="P268" s="21"/>
    </row>
    <row r="269" spans="3:16" ht="15.75" customHeight="1">
      <c r="C269" s="43" t="s">
        <v>222</v>
      </c>
      <c r="D269" s="48" t="s">
        <v>944</v>
      </c>
      <c r="E269" s="89" t="s">
        <v>1171</v>
      </c>
      <c r="F269" s="156"/>
      <c r="G269" s="46">
        <v>35810</v>
      </c>
      <c r="H269" s="90">
        <v>39462</v>
      </c>
      <c r="I269" s="87"/>
      <c r="J269" s="34" t="s">
        <v>635</v>
      </c>
      <c r="K269" s="40">
        <v>16811.55</v>
      </c>
      <c r="L269" s="21"/>
      <c r="M269" s="112">
        <v>2389.4256015</v>
      </c>
      <c r="N269" s="27"/>
      <c r="O269" s="40">
        <f t="shared" si="10"/>
        <v>19200.9756015</v>
      </c>
      <c r="P269" s="21"/>
    </row>
    <row r="270" spans="3:16" ht="15.75" customHeight="1">
      <c r="C270" s="43" t="s">
        <v>223</v>
      </c>
      <c r="D270" s="48" t="s">
        <v>944</v>
      </c>
      <c r="E270" s="89" t="s">
        <v>1025</v>
      </c>
      <c r="F270" s="156"/>
      <c r="G270" s="52">
        <v>36175</v>
      </c>
      <c r="H270" s="90">
        <v>39828</v>
      </c>
      <c r="I270" s="87"/>
      <c r="J270" s="34" t="s">
        <v>635</v>
      </c>
      <c r="K270" s="40">
        <v>15902.397</v>
      </c>
      <c r="L270" s="21"/>
      <c r="M270" s="112">
        <v>1989.3898647</v>
      </c>
      <c r="N270" s="27"/>
      <c r="O270" s="40">
        <f t="shared" si="10"/>
        <v>17891.7868647</v>
      </c>
      <c r="P270" s="21"/>
    </row>
    <row r="271" spans="3:16" ht="15.75" customHeight="1">
      <c r="C271" s="43" t="s">
        <v>650</v>
      </c>
      <c r="D271" s="48" t="s">
        <v>944</v>
      </c>
      <c r="E271" s="89" t="s">
        <v>534</v>
      </c>
      <c r="F271" s="156"/>
      <c r="G271" s="52">
        <v>36543</v>
      </c>
      <c r="H271" s="90">
        <v>40193</v>
      </c>
      <c r="I271" s="87"/>
      <c r="J271" s="34" t="s">
        <v>635</v>
      </c>
      <c r="K271" s="40">
        <v>11320.963</v>
      </c>
      <c r="L271" s="21"/>
      <c r="M271" s="112">
        <v>1094.85033173</v>
      </c>
      <c r="N271" s="27"/>
      <c r="O271" s="40">
        <f t="shared" si="10"/>
        <v>12415.81333173</v>
      </c>
      <c r="P271" s="21"/>
    </row>
    <row r="272" spans="3:16" ht="15.75" customHeight="1">
      <c r="C272" s="43" t="s">
        <v>1176</v>
      </c>
      <c r="D272" s="48" t="s">
        <v>944</v>
      </c>
      <c r="E272" s="89" t="s">
        <v>1177</v>
      </c>
      <c r="F272" s="156"/>
      <c r="G272" s="52">
        <v>36907</v>
      </c>
      <c r="H272" s="90">
        <v>40558</v>
      </c>
      <c r="I272" s="3"/>
      <c r="J272" s="34" t="s">
        <v>635</v>
      </c>
      <c r="K272" s="40">
        <v>11001.036</v>
      </c>
      <c r="L272" s="21"/>
      <c r="M272" s="51">
        <v>661.82232576</v>
      </c>
      <c r="N272" s="43"/>
      <c r="O272" s="40">
        <f t="shared" si="10"/>
        <v>11662.85832576</v>
      </c>
      <c r="P272" s="21"/>
    </row>
    <row r="273" spans="3:16" ht="15.75" customHeight="1">
      <c r="C273" s="43" t="s">
        <v>972</v>
      </c>
      <c r="D273" s="48" t="s">
        <v>944</v>
      </c>
      <c r="E273" s="89" t="s">
        <v>1172</v>
      </c>
      <c r="F273" s="156"/>
      <c r="G273" s="52">
        <v>37271</v>
      </c>
      <c r="H273" s="90">
        <v>40923</v>
      </c>
      <c r="I273" s="3"/>
      <c r="J273" s="34" t="s">
        <v>635</v>
      </c>
      <c r="K273" s="40">
        <v>6004.283</v>
      </c>
      <c r="L273" s="21"/>
      <c r="M273" s="51">
        <v>235.06767945</v>
      </c>
      <c r="N273" s="27"/>
      <c r="O273" s="40">
        <f>K273+M273</f>
        <v>6239.350679450001</v>
      </c>
      <c r="P273" s="21"/>
    </row>
    <row r="274" spans="3:16" ht="15.75" customHeight="1">
      <c r="C274" s="43" t="s">
        <v>685</v>
      </c>
      <c r="D274" s="48" t="s">
        <v>516</v>
      </c>
      <c r="E274" s="89">
        <v>3</v>
      </c>
      <c r="F274" s="156"/>
      <c r="G274" s="52">
        <v>37452</v>
      </c>
      <c r="H274" s="90">
        <v>41105</v>
      </c>
      <c r="I274" s="3"/>
      <c r="J274" s="34" t="s">
        <v>940</v>
      </c>
      <c r="K274" s="40">
        <v>23017.701</v>
      </c>
      <c r="L274" s="21"/>
      <c r="M274" s="51">
        <v>603.75429723</v>
      </c>
      <c r="N274" s="27"/>
      <c r="O274" s="40">
        <f>K274+M274</f>
        <v>23621.45529723</v>
      </c>
      <c r="P274" s="21"/>
    </row>
    <row r="275" spans="3:16" ht="15.75" customHeight="1">
      <c r="C275" s="43" t="s">
        <v>700</v>
      </c>
      <c r="D275" s="48" t="s">
        <v>516</v>
      </c>
      <c r="E275" s="89" t="s">
        <v>235</v>
      </c>
      <c r="F275" s="156"/>
      <c r="G275" s="52">
        <v>37817</v>
      </c>
      <c r="H275" s="90">
        <v>41470</v>
      </c>
      <c r="I275" s="3"/>
      <c r="J275" s="34" t="s">
        <v>940</v>
      </c>
      <c r="K275" s="40">
        <v>20008.319</v>
      </c>
      <c r="L275" s="21"/>
      <c r="M275" s="51">
        <v>92.83860016</v>
      </c>
      <c r="N275" s="27"/>
      <c r="O275" s="40">
        <f t="shared" si="10"/>
        <v>20101.15760016</v>
      </c>
      <c r="P275" s="21"/>
    </row>
    <row r="276" spans="3:16" ht="15.75" customHeight="1">
      <c r="C276" s="43" t="s">
        <v>841</v>
      </c>
      <c r="D276" s="48" t="s">
        <v>944</v>
      </c>
      <c r="E276" s="89">
        <v>2</v>
      </c>
      <c r="F276" s="156"/>
      <c r="G276" s="52">
        <v>38001</v>
      </c>
      <c r="H276" s="90">
        <v>41654</v>
      </c>
      <c r="I276" s="3"/>
      <c r="J276" s="34" t="s">
        <v>635</v>
      </c>
      <c r="K276" s="40">
        <v>12000.286</v>
      </c>
      <c r="L276" s="21"/>
      <c r="M276" s="47" t="s">
        <v>928</v>
      </c>
      <c r="N276" s="27"/>
      <c r="O276" s="40">
        <f>K276+M276</f>
        <v>12000.286</v>
      </c>
      <c r="P276" s="21"/>
    </row>
    <row r="277" spans="2:16" s="75" customFormat="1" ht="21" customHeight="1" thickBot="1">
      <c r="B277" s="228" t="s">
        <v>851</v>
      </c>
      <c r="F277" s="229"/>
      <c r="G277" s="230" t="s">
        <v>929</v>
      </c>
      <c r="H277" s="231" t="s">
        <v>929</v>
      </c>
      <c r="I277" s="76"/>
      <c r="J277" s="232" t="s">
        <v>929</v>
      </c>
      <c r="K277" s="222">
        <f>SUM(K267:K276)</f>
        <v>131824.50600000002</v>
      </c>
      <c r="L277" s="223"/>
      <c r="M277" s="233">
        <f>SUM(M268:M275)</f>
        <v>9661.06830684</v>
      </c>
      <c r="N277" s="226"/>
      <c r="O277" s="222">
        <f>K277+M277</f>
        <v>141485.57430684002</v>
      </c>
      <c r="P277" s="223"/>
    </row>
    <row r="278" spans="2:16" ht="15.75" customHeight="1" thickTop="1">
      <c r="B278" s="86"/>
      <c r="F278" s="43"/>
      <c r="G278" s="16"/>
      <c r="H278" s="46"/>
      <c r="I278" s="3"/>
      <c r="J278" s="34"/>
      <c r="K278" s="40"/>
      <c r="L278" s="108"/>
      <c r="M278" s="40"/>
      <c r="N278" s="108"/>
      <c r="O278" s="40"/>
      <c r="P278" s="108"/>
    </row>
    <row r="279" spans="2:16" ht="21" customHeight="1">
      <c r="B279" t="s">
        <v>1173</v>
      </c>
      <c r="C279" s="43"/>
      <c r="D279" s="65"/>
      <c r="F279" s="156" t="s">
        <v>819</v>
      </c>
      <c r="G279" s="16"/>
      <c r="H279" s="46"/>
      <c r="I279" s="3"/>
      <c r="J279" s="34"/>
      <c r="K279" s="40"/>
      <c r="L279" s="108"/>
      <c r="M279" s="40"/>
      <c r="N279" s="108"/>
      <c r="O279" s="40"/>
      <c r="P279" s="108"/>
    </row>
    <row r="280" spans="2:16" ht="17.25" customHeight="1">
      <c r="B280" s="9" t="s">
        <v>926</v>
      </c>
      <c r="D280" s="3"/>
      <c r="E280" s="3" t="s">
        <v>934</v>
      </c>
      <c r="F280" s="3"/>
      <c r="G280" s="70"/>
      <c r="H280" s="90"/>
      <c r="I280" s="87"/>
      <c r="J280" s="34"/>
      <c r="K280" s="40"/>
      <c r="L280" s="108"/>
      <c r="M280" s="47"/>
      <c r="N280" s="27"/>
      <c r="O280" s="40"/>
      <c r="P280" s="108"/>
    </row>
    <row r="281" spans="2:16" ht="15.75" customHeight="1">
      <c r="B281" s="86"/>
      <c r="C281" s="43" t="s">
        <v>1101</v>
      </c>
      <c r="D281" s="48"/>
      <c r="E281" s="89" t="s">
        <v>1171</v>
      </c>
      <c r="F281" s="156"/>
      <c r="G281" s="46">
        <v>35900</v>
      </c>
      <c r="H281" s="90">
        <v>46858</v>
      </c>
      <c r="I281" s="87"/>
      <c r="J281" s="34" t="s">
        <v>430</v>
      </c>
      <c r="K281" s="40">
        <v>16808.478</v>
      </c>
      <c r="L281" s="21"/>
      <c r="M281" s="112">
        <v>2338.44937196</v>
      </c>
      <c r="N281" s="27"/>
      <c r="O281" s="40">
        <f>K281+M281</f>
        <v>19146.92737196</v>
      </c>
      <c r="P281" s="21"/>
    </row>
    <row r="282" spans="2:15" ht="15.75" customHeight="1">
      <c r="B282" s="86"/>
      <c r="C282" s="43" t="s">
        <v>652</v>
      </c>
      <c r="D282" s="48"/>
      <c r="E282" s="89" t="s">
        <v>1025</v>
      </c>
      <c r="F282" s="156"/>
      <c r="G282" s="52">
        <v>36265</v>
      </c>
      <c r="H282" s="90">
        <v>47223</v>
      </c>
      <c r="I282" s="87"/>
      <c r="J282" s="34" t="s">
        <v>430</v>
      </c>
      <c r="K282" s="40">
        <v>19722.104</v>
      </c>
      <c r="L282" s="21"/>
      <c r="M282" s="112">
        <v>2161.41601864</v>
      </c>
      <c r="N282" s="27"/>
      <c r="O282" s="40">
        <f>K282+M282</f>
        <v>21883.52001864</v>
      </c>
    </row>
    <row r="283" spans="2:15" ht="15.75" customHeight="1">
      <c r="B283" s="86"/>
      <c r="C283" s="43" t="s">
        <v>795</v>
      </c>
      <c r="D283" s="48"/>
      <c r="E283" s="89" t="s">
        <v>1172</v>
      </c>
      <c r="F283" s="156"/>
      <c r="G283" s="52">
        <v>37179</v>
      </c>
      <c r="H283" s="90">
        <v>48319</v>
      </c>
      <c r="I283" s="87"/>
      <c r="J283" s="34" t="s">
        <v>501</v>
      </c>
      <c r="K283" s="40">
        <v>5012.235</v>
      </c>
      <c r="L283" s="21"/>
      <c r="M283" s="112">
        <v>198.13364955</v>
      </c>
      <c r="N283" s="27"/>
      <c r="O283" s="40">
        <f>K283+M283</f>
        <v>5210.36864955</v>
      </c>
    </row>
    <row r="284" spans="2:16" s="75" customFormat="1" ht="21" customHeight="1" thickBot="1">
      <c r="B284" s="228" t="s">
        <v>856</v>
      </c>
      <c r="F284" s="229"/>
      <c r="G284" s="230" t="s">
        <v>929</v>
      </c>
      <c r="H284" s="231" t="s">
        <v>929</v>
      </c>
      <c r="I284" s="76"/>
      <c r="J284" s="232" t="s">
        <v>929</v>
      </c>
      <c r="K284" s="233">
        <f>SUM(K281:K283)</f>
        <v>41542.816999999995</v>
      </c>
      <c r="L284" s="223"/>
      <c r="M284" s="233">
        <f>SUM(M281:M283)</f>
        <v>4697.99904015</v>
      </c>
      <c r="N284" s="407"/>
      <c r="O284" s="222">
        <f>K284+M284</f>
        <v>46240.81604014999</v>
      </c>
      <c r="P284" s="223"/>
    </row>
    <row r="285" spans="2:16" s="75" customFormat="1" ht="21" customHeight="1" thickTop="1">
      <c r="B285" s="228"/>
      <c r="F285" s="229"/>
      <c r="G285" s="230"/>
      <c r="H285" s="231"/>
      <c r="I285" s="76"/>
      <c r="J285" s="232"/>
      <c r="K285" s="405"/>
      <c r="L285" s="273"/>
      <c r="M285" s="405"/>
      <c r="N285" s="274"/>
      <c r="O285" s="406"/>
      <c r="P285" s="273"/>
    </row>
    <row r="286" spans="1:16" ht="18" customHeight="1" thickBot="1">
      <c r="A286" s="227" t="s">
        <v>857</v>
      </c>
      <c r="B286" s="227"/>
      <c r="F286" s="71"/>
      <c r="G286" s="49" t="s">
        <v>929</v>
      </c>
      <c r="H286" s="49" t="s">
        <v>929</v>
      </c>
      <c r="I286" s="8"/>
      <c r="J286" s="50" t="s">
        <v>929</v>
      </c>
      <c r="K286" s="111">
        <f>+K284+K277+K253+K148+K56</f>
        <v>3634836.5096500004</v>
      </c>
      <c r="L286" s="128"/>
      <c r="M286" s="111">
        <f>+M284+M277+M253+M148+M56</f>
        <v>-53047.23265301</v>
      </c>
      <c r="N286" s="128"/>
      <c r="O286" s="111">
        <f>K286+M286</f>
        <v>3581789.27699699</v>
      </c>
      <c r="P286" s="127"/>
    </row>
    <row r="287" spans="6:16" ht="15.75" customHeight="1" thickTop="1">
      <c r="F287" s="113"/>
      <c r="G287" s="114"/>
      <c r="H287" s="114"/>
      <c r="I287" s="8"/>
      <c r="J287" s="115"/>
      <c r="K287" s="116"/>
      <c r="L287" s="117"/>
      <c r="M287" s="116"/>
      <c r="N287" s="117"/>
      <c r="O287" s="116"/>
      <c r="P287" s="118"/>
    </row>
    <row r="288" spans="6:16" ht="15.75" customHeight="1">
      <c r="F288" s="113"/>
      <c r="G288" s="114"/>
      <c r="H288" s="114"/>
      <c r="I288" s="8"/>
      <c r="J288" s="115"/>
      <c r="K288" s="116"/>
      <c r="L288" s="117"/>
      <c r="M288" s="116"/>
      <c r="N288" s="117"/>
      <c r="O288" s="116"/>
      <c r="P288" s="118"/>
    </row>
    <row r="289" spans="6:16" ht="15.75" customHeight="1">
      <c r="F289" s="113"/>
      <c r="G289" s="114"/>
      <c r="H289" s="114"/>
      <c r="I289" s="8"/>
      <c r="J289" s="115"/>
      <c r="K289" s="116"/>
      <c r="L289" s="117"/>
      <c r="M289" s="116"/>
      <c r="N289" s="117"/>
      <c r="O289" s="116"/>
      <c r="P289" s="118"/>
    </row>
    <row r="290" spans="6:16" ht="15.75" customHeight="1">
      <c r="F290" s="113"/>
      <c r="G290" s="114"/>
      <c r="H290" s="114"/>
      <c r="I290" s="8"/>
      <c r="J290" s="115"/>
      <c r="K290" s="116"/>
      <c r="L290" s="117"/>
      <c r="M290" s="116"/>
      <c r="N290" s="117"/>
      <c r="O290" s="116"/>
      <c r="P290" s="118"/>
    </row>
    <row r="291" spans="6:16" ht="15.75" customHeight="1">
      <c r="F291" s="113"/>
      <c r="G291" s="114"/>
      <c r="H291" s="114"/>
      <c r="I291" s="8"/>
      <c r="J291" s="115"/>
      <c r="K291" s="116"/>
      <c r="L291" s="117"/>
      <c r="M291" s="116"/>
      <c r="N291" s="117"/>
      <c r="O291" s="116"/>
      <c r="P291" s="118"/>
    </row>
    <row r="292" spans="6:16" ht="15.75" customHeight="1">
      <c r="F292" s="113"/>
      <c r="G292" s="114"/>
      <c r="H292" s="114"/>
      <c r="I292" s="8"/>
      <c r="J292" s="115"/>
      <c r="K292" s="116"/>
      <c r="L292" s="117"/>
      <c r="M292" s="116"/>
      <c r="N292" s="117"/>
      <c r="O292" s="116"/>
      <c r="P292" s="118"/>
    </row>
    <row r="293" spans="6:16" ht="15.75" customHeight="1">
      <c r="F293" s="113"/>
      <c r="G293" s="114"/>
      <c r="H293" s="114"/>
      <c r="I293" s="8"/>
      <c r="J293" s="115"/>
      <c r="K293" s="116"/>
      <c r="L293" s="117"/>
      <c r="M293" s="116"/>
      <c r="N293" s="117"/>
      <c r="O293" s="116"/>
      <c r="P293" s="118"/>
    </row>
    <row r="294" spans="6:16" ht="15.75" customHeight="1">
      <c r="F294" s="113"/>
      <c r="G294" s="114"/>
      <c r="H294" s="114"/>
      <c r="I294" s="8"/>
      <c r="J294" s="115"/>
      <c r="K294" s="116"/>
      <c r="L294" s="117"/>
      <c r="M294" s="116"/>
      <c r="N294" s="117"/>
      <c r="O294" s="116"/>
      <c r="P294" s="118"/>
    </row>
    <row r="295" spans="6:16" ht="15.75" customHeight="1">
      <c r="F295" s="113"/>
      <c r="G295" s="114"/>
      <c r="H295" s="114"/>
      <c r="I295" s="8"/>
      <c r="J295" s="115"/>
      <c r="K295" s="116"/>
      <c r="L295" s="117"/>
      <c r="M295" s="116"/>
      <c r="N295" s="117"/>
      <c r="O295" s="116"/>
      <c r="P295" s="118"/>
    </row>
    <row r="296" spans="6:16" ht="15.75" customHeight="1">
      <c r="F296" s="113"/>
      <c r="G296" s="114"/>
      <c r="H296" s="114"/>
      <c r="I296" s="8"/>
      <c r="J296" s="115"/>
      <c r="K296" s="116"/>
      <c r="L296" s="117"/>
      <c r="M296" s="116"/>
      <c r="N296" s="117"/>
      <c r="O296" s="116"/>
      <c r="P296" s="118"/>
    </row>
    <row r="297" spans="6:16" ht="15.75" customHeight="1">
      <c r="F297" s="113"/>
      <c r="G297" s="114"/>
      <c r="H297" s="114"/>
      <c r="I297" s="8"/>
      <c r="J297" s="115"/>
      <c r="K297" s="116"/>
      <c r="L297" s="117"/>
      <c r="M297" s="116"/>
      <c r="N297" s="117"/>
      <c r="O297" s="116"/>
      <c r="P297" s="118"/>
    </row>
    <row r="298" spans="6:16" ht="15.75" customHeight="1">
      <c r="F298" s="113"/>
      <c r="G298" s="114"/>
      <c r="H298" s="114"/>
      <c r="I298" s="8"/>
      <c r="J298" s="115"/>
      <c r="K298" s="116"/>
      <c r="L298" s="117"/>
      <c r="M298" s="116"/>
      <c r="N298" s="117"/>
      <c r="O298" s="116"/>
      <c r="P298" s="118"/>
    </row>
    <row r="299" spans="6:16" ht="15.75" customHeight="1">
      <c r="F299" s="113"/>
      <c r="G299" s="114"/>
      <c r="H299" s="114"/>
      <c r="I299" s="8"/>
      <c r="J299" s="115"/>
      <c r="K299" s="116"/>
      <c r="L299" s="117"/>
      <c r="M299" s="116"/>
      <c r="N299" s="117"/>
      <c r="O299" s="116"/>
      <c r="P299" s="118"/>
    </row>
    <row r="300" spans="6:16" ht="15.75" customHeight="1">
      <c r="F300" s="113"/>
      <c r="G300" s="114"/>
      <c r="H300" s="114"/>
      <c r="I300" s="8"/>
      <c r="J300" s="115"/>
      <c r="K300" s="116"/>
      <c r="L300" s="117"/>
      <c r="M300" s="116"/>
      <c r="N300" s="117"/>
      <c r="O300" s="116"/>
      <c r="P300" s="118"/>
    </row>
    <row r="301" spans="6:16" ht="15.75" customHeight="1">
      <c r="F301" s="113"/>
      <c r="G301" s="114"/>
      <c r="H301" s="114"/>
      <c r="I301" s="8"/>
      <c r="J301" s="115"/>
      <c r="K301" s="116"/>
      <c r="L301" s="117"/>
      <c r="M301" s="116"/>
      <c r="N301" s="117"/>
      <c r="O301" s="116"/>
      <c r="P301" s="118"/>
    </row>
    <row r="302" spans="6:16" ht="15.75" customHeight="1">
      <c r="F302" s="113"/>
      <c r="G302" s="114"/>
      <c r="H302" s="114"/>
      <c r="I302" s="8"/>
      <c r="J302" s="115"/>
      <c r="K302" s="116"/>
      <c r="L302" s="117"/>
      <c r="M302" s="116"/>
      <c r="N302" s="117"/>
      <c r="O302" s="116"/>
      <c r="P302" s="118"/>
    </row>
    <row r="303" spans="6:16" ht="15.75" customHeight="1">
      <c r="F303" s="113"/>
      <c r="G303" s="114"/>
      <c r="H303" s="114"/>
      <c r="I303" s="8"/>
      <c r="J303" s="115"/>
      <c r="K303" s="116"/>
      <c r="L303" s="117"/>
      <c r="M303" s="116"/>
      <c r="N303" s="117"/>
      <c r="O303" s="116"/>
      <c r="P303" s="118"/>
    </row>
    <row r="304" spans="6:16" ht="15.75" customHeight="1">
      <c r="F304" s="113"/>
      <c r="G304" s="114"/>
      <c r="H304" s="114"/>
      <c r="I304" s="8"/>
      <c r="J304" s="115"/>
      <c r="K304" s="116"/>
      <c r="L304" s="117"/>
      <c r="M304" s="116"/>
      <c r="N304" s="117"/>
      <c r="O304" s="116"/>
      <c r="P304" s="118"/>
    </row>
    <row r="305" spans="6:16" ht="15.75" customHeight="1">
      <c r="F305" s="113"/>
      <c r="G305" s="114"/>
      <c r="H305" s="114"/>
      <c r="I305" s="8"/>
      <c r="J305" s="115"/>
      <c r="K305" s="116"/>
      <c r="L305" s="117"/>
      <c r="M305" s="116"/>
      <c r="N305" s="117"/>
      <c r="O305" s="116"/>
      <c r="P305" s="118"/>
    </row>
    <row r="306" spans="6:16" ht="15.75" customHeight="1">
      <c r="F306" s="113"/>
      <c r="G306" s="114"/>
      <c r="H306" s="114"/>
      <c r="I306" s="8"/>
      <c r="J306" s="115"/>
      <c r="K306" s="116"/>
      <c r="L306" s="117"/>
      <c r="M306" s="116"/>
      <c r="N306" s="117"/>
      <c r="O306" s="116"/>
      <c r="P306" s="118"/>
    </row>
    <row r="307" spans="6:16" ht="15.75" customHeight="1">
      <c r="F307" s="113"/>
      <c r="G307" s="114"/>
      <c r="H307" s="114"/>
      <c r="I307" s="8"/>
      <c r="J307" s="115"/>
      <c r="K307" s="116"/>
      <c r="L307" s="117"/>
      <c r="M307" s="116"/>
      <c r="N307" s="117"/>
      <c r="O307" s="116"/>
      <c r="P307" s="118"/>
    </row>
    <row r="308" spans="6:16" ht="15.75" customHeight="1">
      <c r="F308" s="113"/>
      <c r="G308" s="114"/>
      <c r="H308" s="114"/>
      <c r="I308" s="8"/>
      <c r="J308" s="115"/>
      <c r="K308" s="116"/>
      <c r="L308" s="117"/>
      <c r="M308" s="116"/>
      <c r="N308" s="117"/>
      <c r="O308" s="116"/>
      <c r="P308" s="118"/>
    </row>
    <row r="309" spans="6:16" ht="15.75" customHeight="1">
      <c r="F309" s="113"/>
      <c r="G309" s="114"/>
      <c r="H309" s="114"/>
      <c r="I309" s="8"/>
      <c r="J309" s="115"/>
      <c r="K309" s="116"/>
      <c r="L309" s="117"/>
      <c r="M309" s="116"/>
      <c r="N309" s="117"/>
      <c r="O309" s="116"/>
      <c r="P309" s="118"/>
    </row>
    <row r="310" spans="6:16" ht="15.75" customHeight="1">
      <c r="F310" s="113"/>
      <c r="G310" s="114"/>
      <c r="H310" s="114"/>
      <c r="I310" s="8"/>
      <c r="J310" s="115"/>
      <c r="K310" s="116"/>
      <c r="L310" s="117"/>
      <c r="M310" s="116"/>
      <c r="N310" s="117"/>
      <c r="O310" s="116"/>
      <c r="P310" s="118"/>
    </row>
    <row r="311" spans="6:16" ht="15.75" customHeight="1">
      <c r="F311" s="113"/>
      <c r="G311" s="114"/>
      <c r="H311" s="114"/>
      <c r="I311" s="8"/>
      <c r="J311" s="115"/>
      <c r="K311" s="116"/>
      <c r="L311" s="117"/>
      <c r="M311" s="116"/>
      <c r="N311" s="117"/>
      <c r="O311" s="116"/>
      <c r="P311" s="118"/>
    </row>
    <row r="312" spans="6:16" ht="15.75" customHeight="1">
      <c r="F312" s="113"/>
      <c r="G312" s="114"/>
      <c r="H312" s="114"/>
      <c r="I312" s="8"/>
      <c r="J312" s="115"/>
      <c r="K312" s="116"/>
      <c r="L312" s="117"/>
      <c r="M312" s="116"/>
      <c r="N312" s="117"/>
      <c r="O312" s="116"/>
      <c r="P312" s="118"/>
    </row>
    <row r="313" spans="6:16" ht="15.75" customHeight="1">
      <c r="F313" s="113"/>
      <c r="G313" s="114"/>
      <c r="H313" s="114"/>
      <c r="I313" s="8"/>
      <c r="J313" s="115"/>
      <c r="K313" s="116"/>
      <c r="L313" s="117"/>
      <c r="M313" s="116"/>
      <c r="N313" s="117"/>
      <c r="O313" s="116"/>
      <c r="P313" s="118"/>
    </row>
    <row r="314" spans="6:16" ht="15.75" customHeight="1">
      <c r="F314" s="113"/>
      <c r="G314" s="114"/>
      <c r="H314" s="114"/>
      <c r="I314" s="8"/>
      <c r="J314" s="115"/>
      <c r="K314" s="116"/>
      <c r="L314" s="117"/>
      <c r="M314" s="116"/>
      <c r="N314" s="117"/>
      <c r="O314" s="116"/>
      <c r="P314" s="118"/>
    </row>
    <row r="315" spans="6:16" ht="15.75" customHeight="1">
      <c r="F315" s="113"/>
      <c r="G315" s="114"/>
      <c r="H315" s="114"/>
      <c r="I315" s="8"/>
      <c r="J315" s="115"/>
      <c r="K315" s="116"/>
      <c r="L315" s="117"/>
      <c r="M315" s="116"/>
      <c r="N315" s="117"/>
      <c r="O315" s="116"/>
      <c r="P315" s="118"/>
    </row>
    <row r="316" spans="6:16" ht="15.75" customHeight="1">
      <c r="F316" s="113"/>
      <c r="G316" s="114"/>
      <c r="H316" s="114"/>
      <c r="I316" s="8"/>
      <c r="J316" s="115"/>
      <c r="K316" s="116"/>
      <c r="L316" s="117"/>
      <c r="M316" s="116"/>
      <c r="N316" s="117"/>
      <c r="O316" s="116"/>
      <c r="P316" s="118"/>
    </row>
    <row r="317" spans="6:16" ht="15.75" customHeight="1">
      <c r="F317" s="113"/>
      <c r="G317" s="114"/>
      <c r="H317" s="114"/>
      <c r="I317" s="8"/>
      <c r="J317" s="115"/>
      <c r="K317" s="116"/>
      <c r="L317" s="117"/>
      <c r="M317" s="116"/>
      <c r="N317" s="117"/>
      <c r="O317" s="116"/>
      <c r="P317" s="118"/>
    </row>
    <row r="318" spans="6:16" ht="15.75" customHeight="1">
      <c r="F318" s="113"/>
      <c r="G318" s="114"/>
      <c r="H318" s="114"/>
      <c r="I318" s="8"/>
      <c r="J318" s="115"/>
      <c r="K318" s="116"/>
      <c r="L318" s="117"/>
      <c r="M318" s="116"/>
      <c r="N318" s="117"/>
      <c r="O318" s="116"/>
      <c r="P318" s="118"/>
    </row>
    <row r="319" spans="6:16" ht="15.75" customHeight="1">
      <c r="F319" s="113"/>
      <c r="G319" s="114"/>
      <c r="H319" s="114"/>
      <c r="I319" s="8"/>
      <c r="J319" s="115"/>
      <c r="K319" s="116"/>
      <c r="L319" s="117"/>
      <c r="M319" s="116"/>
      <c r="N319" s="117"/>
      <c r="O319" s="116"/>
      <c r="P319" s="118"/>
    </row>
    <row r="320" spans="6:16" ht="15.75" customHeight="1">
      <c r="F320" s="113"/>
      <c r="G320" s="114"/>
      <c r="H320" s="114"/>
      <c r="I320" s="8"/>
      <c r="J320" s="115"/>
      <c r="K320" s="116"/>
      <c r="L320" s="117"/>
      <c r="M320" s="116"/>
      <c r="N320" s="117"/>
      <c r="O320" s="116"/>
      <c r="P320" s="118"/>
    </row>
    <row r="321" spans="6:16" ht="15.75" customHeight="1">
      <c r="F321" s="113"/>
      <c r="G321" s="114"/>
      <c r="H321" s="114"/>
      <c r="I321" s="8"/>
      <c r="J321" s="115"/>
      <c r="K321" s="116"/>
      <c r="L321" s="117"/>
      <c r="M321" s="116"/>
      <c r="N321" s="117"/>
      <c r="O321" s="116"/>
      <c r="P321" s="118"/>
    </row>
    <row r="322" spans="6:16" ht="15.75" customHeight="1">
      <c r="F322" s="113"/>
      <c r="G322" s="114"/>
      <c r="H322" s="114"/>
      <c r="I322" s="8"/>
      <c r="J322" s="115"/>
      <c r="K322" s="116"/>
      <c r="L322" s="117"/>
      <c r="M322" s="116"/>
      <c r="N322" s="117"/>
      <c r="O322" s="116"/>
      <c r="P322" s="118"/>
    </row>
    <row r="323" spans="6:16" ht="15.75" customHeight="1">
      <c r="F323" s="113"/>
      <c r="G323" s="114"/>
      <c r="H323" s="114"/>
      <c r="I323" s="8"/>
      <c r="J323" s="115"/>
      <c r="K323" s="116"/>
      <c r="L323" s="117"/>
      <c r="M323" s="116"/>
      <c r="N323" s="117"/>
      <c r="O323" s="116"/>
      <c r="P323" s="118"/>
    </row>
    <row r="324" spans="6:16" ht="15.75" customHeight="1">
      <c r="F324" s="113"/>
      <c r="G324" s="114"/>
      <c r="H324" s="114"/>
      <c r="I324" s="8"/>
      <c r="J324" s="115"/>
      <c r="K324" s="116"/>
      <c r="L324" s="117"/>
      <c r="M324" s="116"/>
      <c r="N324" s="117"/>
      <c r="O324" s="116"/>
      <c r="P324" s="118"/>
    </row>
    <row r="325" spans="6:16" ht="15.75" customHeight="1">
      <c r="F325" s="113"/>
      <c r="G325" s="114"/>
      <c r="H325" s="114"/>
      <c r="I325" s="8"/>
      <c r="J325" s="115"/>
      <c r="K325" s="116"/>
      <c r="L325" s="117"/>
      <c r="M325" s="116"/>
      <c r="N325" s="117"/>
      <c r="O325" s="116"/>
      <c r="P325" s="118"/>
    </row>
    <row r="326" spans="6:16" ht="15.75" customHeight="1">
      <c r="F326" s="113"/>
      <c r="G326" s="114"/>
      <c r="H326" s="114"/>
      <c r="I326" s="8"/>
      <c r="J326" s="115"/>
      <c r="K326" s="116"/>
      <c r="L326" s="117"/>
      <c r="M326" s="116"/>
      <c r="N326" s="117"/>
      <c r="O326" s="116"/>
      <c r="P326" s="118"/>
    </row>
    <row r="327" spans="6:16" ht="15.75" customHeight="1">
      <c r="F327" s="113"/>
      <c r="G327" s="114"/>
      <c r="H327" s="114"/>
      <c r="I327" s="8"/>
      <c r="J327" s="115"/>
      <c r="K327" s="116"/>
      <c r="L327" s="117"/>
      <c r="M327" s="116"/>
      <c r="N327" s="117"/>
      <c r="O327" s="116"/>
      <c r="P327" s="118"/>
    </row>
    <row r="328" spans="6:16" ht="15.75" customHeight="1">
      <c r="F328" s="113"/>
      <c r="G328" s="114"/>
      <c r="H328" s="114"/>
      <c r="I328" s="8"/>
      <c r="J328" s="115"/>
      <c r="K328" s="116"/>
      <c r="L328" s="117"/>
      <c r="M328" s="116"/>
      <c r="N328" s="117"/>
      <c r="O328" s="116"/>
      <c r="P328" s="118"/>
    </row>
    <row r="329" spans="6:16" ht="15.75" customHeight="1">
      <c r="F329" s="113"/>
      <c r="G329" s="114"/>
      <c r="H329" s="114"/>
      <c r="I329" s="8"/>
      <c r="J329" s="115"/>
      <c r="K329" s="116"/>
      <c r="L329" s="117"/>
      <c r="M329" s="116"/>
      <c r="N329" s="117"/>
      <c r="O329" s="116"/>
      <c r="P329" s="118"/>
    </row>
    <row r="330" spans="6:16" ht="15.75" customHeight="1">
      <c r="F330" s="113"/>
      <c r="G330" s="114"/>
      <c r="H330" s="114"/>
      <c r="I330" s="8"/>
      <c r="J330" s="115"/>
      <c r="K330" s="116"/>
      <c r="L330" s="117"/>
      <c r="M330" s="116"/>
      <c r="N330" s="117"/>
      <c r="O330" s="116"/>
      <c r="P330" s="118"/>
    </row>
    <row r="331" spans="6:16" ht="15.75" customHeight="1">
      <c r="F331" s="113"/>
      <c r="G331" s="114"/>
      <c r="H331" s="114"/>
      <c r="I331" s="8"/>
      <c r="J331" s="115"/>
      <c r="K331" s="116"/>
      <c r="L331" s="117"/>
      <c r="M331" s="116"/>
      <c r="N331" s="117"/>
      <c r="O331" s="116"/>
      <c r="P331" s="118"/>
    </row>
    <row r="332" spans="6:16" ht="15.75" customHeight="1">
      <c r="F332" s="113"/>
      <c r="G332" s="114"/>
      <c r="H332" s="114"/>
      <c r="I332" s="8"/>
      <c r="J332" s="115"/>
      <c r="K332" s="116"/>
      <c r="L332" s="117"/>
      <c r="M332" s="116"/>
      <c r="N332" s="117"/>
      <c r="O332" s="116"/>
      <c r="P332" s="118"/>
    </row>
    <row r="333" spans="6:16" ht="15.75" customHeight="1">
      <c r="F333" s="113"/>
      <c r="G333" s="114"/>
      <c r="H333" s="114"/>
      <c r="I333" s="8"/>
      <c r="J333" s="115"/>
      <c r="K333" s="116"/>
      <c r="L333" s="117"/>
      <c r="M333" s="116"/>
      <c r="N333" s="117"/>
      <c r="O333" s="116"/>
      <c r="P333" s="118"/>
    </row>
    <row r="334" spans="6:16" ht="15.75" customHeight="1">
      <c r="F334" s="113"/>
      <c r="G334" s="114"/>
      <c r="H334" s="114"/>
      <c r="I334" s="8"/>
      <c r="J334" s="115"/>
      <c r="K334" s="116"/>
      <c r="L334" s="117"/>
      <c r="M334" s="116"/>
      <c r="N334" s="117"/>
      <c r="O334" s="116"/>
      <c r="P334" s="118"/>
    </row>
    <row r="335" spans="6:16" ht="15.75" customHeight="1">
      <c r="F335" s="113"/>
      <c r="G335" s="114"/>
      <c r="H335" s="114"/>
      <c r="I335" s="8"/>
      <c r="J335" s="115"/>
      <c r="K335" s="116"/>
      <c r="L335" s="117"/>
      <c r="M335" s="116"/>
      <c r="N335" s="117"/>
      <c r="O335" s="116"/>
      <c r="P335" s="118"/>
    </row>
    <row r="336" spans="6:16" ht="15.75" customHeight="1">
      <c r="F336" s="113"/>
      <c r="G336" s="114"/>
      <c r="H336" s="114"/>
      <c r="I336" s="8"/>
      <c r="J336" s="115"/>
      <c r="K336" s="116"/>
      <c r="L336" s="117"/>
      <c r="M336" s="116"/>
      <c r="N336" s="117"/>
      <c r="O336" s="116"/>
      <c r="P336" s="118"/>
    </row>
    <row r="337" spans="6:16" ht="15.75" customHeight="1">
      <c r="F337" s="113"/>
      <c r="G337" s="114"/>
      <c r="H337" s="114"/>
      <c r="I337" s="8"/>
      <c r="J337" s="115"/>
      <c r="K337" s="116"/>
      <c r="L337" s="117"/>
      <c r="M337" s="116"/>
      <c r="N337" s="117"/>
      <c r="O337" s="116"/>
      <c r="P337" s="118"/>
    </row>
    <row r="338" spans="6:16" ht="15.75" customHeight="1">
      <c r="F338" s="113"/>
      <c r="G338" s="114"/>
      <c r="H338" s="114"/>
      <c r="I338" s="8"/>
      <c r="J338" s="115"/>
      <c r="K338" s="116"/>
      <c r="L338" s="117"/>
      <c r="M338" s="116"/>
      <c r="N338" s="117"/>
      <c r="O338" s="116"/>
      <c r="P338" s="118"/>
    </row>
    <row r="339" spans="6:16" ht="15.75" customHeight="1">
      <c r="F339" s="113"/>
      <c r="G339" s="114"/>
      <c r="H339" s="114"/>
      <c r="I339" s="8"/>
      <c r="J339" s="115"/>
      <c r="K339" s="116"/>
      <c r="L339" s="117"/>
      <c r="M339" s="116"/>
      <c r="N339" s="117"/>
      <c r="O339" s="116"/>
      <c r="P339" s="118"/>
    </row>
    <row r="340" spans="6:16" ht="15.75" customHeight="1">
      <c r="F340" s="113"/>
      <c r="G340" s="114"/>
      <c r="H340" s="114"/>
      <c r="I340" s="8"/>
      <c r="J340" s="115"/>
      <c r="K340" s="116"/>
      <c r="L340" s="117"/>
      <c r="M340" s="116"/>
      <c r="N340" s="117"/>
      <c r="O340" s="116"/>
      <c r="P340" s="118"/>
    </row>
    <row r="341" spans="6:16" s="100" customFormat="1" ht="15.75" customHeight="1" thickBot="1">
      <c r="F341" s="175"/>
      <c r="G341" s="176"/>
      <c r="H341" s="176"/>
      <c r="I341" s="177"/>
      <c r="J341" s="178"/>
      <c r="K341" s="179"/>
      <c r="L341" s="180"/>
      <c r="M341" s="179"/>
      <c r="N341" s="180"/>
      <c r="O341" s="179"/>
      <c r="P341" s="122"/>
    </row>
    <row r="342" ht="15.75" thickTop="1">
      <c r="I342" s="31"/>
    </row>
    <row r="343" ht="16.5" customHeight="1">
      <c r="I343" s="31"/>
    </row>
    <row r="344" ht="15">
      <c r="I344" s="31"/>
    </row>
    <row r="345" ht="15">
      <c r="I345" s="31"/>
    </row>
    <row r="346" ht="15">
      <c r="I346" s="31"/>
    </row>
  </sheetData>
  <printOptions horizontalCentered="1"/>
  <pageMargins left="0" right="0" top="0.4" bottom="0.25" header="0" footer="0"/>
  <pageSetup fitToHeight="4" horizontalDpi="300" verticalDpi="300" orientation="portrait" scale="55" r:id="rId1"/>
  <rowBreaks count="4" manualBreakCount="4">
    <brk id="85" max="16" man="1"/>
    <brk id="171" max="16" man="1"/>
    <brk id="257" max="16" man="1"/>
    <brk id="34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8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ht="16.5" customHeight="1">
      <c r="A1" s="7">
        <v>6</v>
      </c>
      <c r="B1" s="2" t="str">
        <f>(Marketable!B86)</f>
        <v>TABLE III - DETAIL OF TREASURY SECURITIES OUTSTANDING, JANUARY 31, 2004 -- Continued</v>
      </c>
      <c r="C1" s="2"/>
      <c r="D1" s="2"/>
      <c r="E1" s="3"/>
      <c r="F1" s="3"/>
      <c r="G1" s="3"/>
      <c r="H1" s="3"/>
      <c r="I1" s="29"/>
      <c r="J1" s="3"/>
      <c r="K1" s="3"/>
      <c r="L1" s="3"/>
      <c r="M1" s="3"/>
      <c r="N1" s="3"/>
      <c r="O1" s="3"/>
      <c r="P1" s="2"/>
    </row>
    <row r="2" spans="1:16" ht="10.5" customHeight="1" thickBot="1">
      <c r="A2" s="7"/>
      <c r="B2" s="7"/>
      <c r="C2" s="7"/>
      <c r="D2" s="2"/>
      <c r="E2" s="3"/>
      <c r="F2" s="3"/>
      <c r="G2" s="3"/>
      <c r="H2" s="3"/>
      <c r="I2" s="29"/>
      <c r="J2" s="3"/>
      <c r="K2" s="3"/>
      <c r="L2" s="3"/>
      <c r="M2" s="3"/>
      <c r="N2" s="3"/>
      <c r="O2" s="3"/>
      <c r="P2" s="2"/>
    </row>
    <row r="3" spans="1:16" ht="15.75" thickTop="1">
      <c r="A3" s="32"/>
      <c r="B3" s="32"/>
      <c r="C3" s="32"/>
      <c r="D3" s="32"/>
      <c r="E3" s="32"/>
      <c r="F3" s="32"/>
      <c r="G3" s="26"/>
      <c r="H3" s="26"/>
      <c r="I3" s="33"/>
      <c r="J3" s="26"/>
      <c r="K3" s="26"/>
      <c r="L3" s="32"/>
      <c r="M3" s="32"/>
      <c r="N3" s="32"/>
      <c r="O3" s="32"/>
      <c r="P3" s="32"/>
    </row>
    <row r="4" spans="7:16" ht="15.75" customHeight="1">
      <c r="G4" s="16" t="s">
        <v>448</v>
      </c>
      <c r="H4" s="16" t="s">
        <v>449</v>
      </c>
      <c r="I4" s="29"/>
      <c r="J4" s="34" t="s">
        <v>450</v>
      </c>
      <c r="K4" s="16" t="s">
        <v>451</v>
      </c>
      <c r="L4" s="3"/>
      <c r="M4" s="3"/>
      <c r="N4" s="3"/>
      <c r="O4" s="3"/>
      <c r="P4" s="3"/>
    </row>
    <row r="5" spans="1:11" ht="15.75" customHeight="1">
      <c r="A5" s="3" t="s">
        <v>452</v>
      </c>
      <c r="B5" s="3"/>
      <c r="C5" s="3"/>
      <c r="D5" s="3"/>
      <c r="E5" s="3"/>
      <c r="F5" s="3"/>
      <c r="G5" s="16" t="s">
        <v>453</v>
      </c>
      <c r="H5" s="16" t="s">
        <v>454</v>
      </c>
      <c r="I5" s="29"/>
      <c r="J5" s="34" t="s">
        <v>455</v>
      </c>
      <c r="K5" s="14"/>
    </row>
    <row r="6" spans="1:16" ht="16.5" customHeight="1">
      <c r="A6" s="15"/>
      <c r="B6" s="15"/>
      <c r="C6" s="15"/>
      <c r="D6" s="15"/>
      <c r="E6" s="15"/>
      <c r="F6" s="15"/>
      <c r="G6" s="35"/>
      <c r="H6" s="35"/>
      <c r="I6" s="36"/>
      <c r="J6" s="35"/>
      <c r="K6" s="37" t="s">
        <v>456</v>
      </c>
      <c r="L6" s="168"/>
      <c r="M6" s="37" t="s">
        <v>923</v>
      </c>
      <c r="N6" s="38"/>
      <c r="O6" s="37" t="s">
        <v>16</v>
      </c>
      <c r="P6" s="38"/>
    </row>
    <row r="7" spans="1:16" ht="15.75" customHeight="1">
      <c r="A7" s="63"/>
      <c r="B7" s="63"/>
      <c r="C7" s="63"/>
      <c r="D7" s="63"/>
      <c r="E7" s="63"/>
      <c r="F7" s="63"/>
      <c r="G7" s="14"/>
      <c r="H7" s="14"/>
      <c r="I7" s="96"/>
      <c r="J7" s="14"/>
      <c r="K7" s="16"/>
      <c r="L7" s="13"/>
      <c r="M7" s="16"/>
      <c r="N7" s="97"/>
      <c r="O7" s="16"/>
      <c r="P7" s="97"/>
    </row>
    <row r="8" spans="1:20" ht="18">
      <c r="A8" s="23" t="s">
        <v>20</v>
      </c>
      <c r="B8" s="22"/>
      <c r="C8" s="22"/>
      <c r="D8" s="22"/>
      <c r="E8" s="7"/>
      <c r="F8" s="7"/>
      <c r="G8" s="14"/>
      <c r="H8" s="14"/>
      <c r="J8" s="14"/>
      <c r="K8" s="14"/>
      <c r="L8" s="25"/>
      <c r="M8" s="14"/>
      <c r="O8" s="14"/>
      <c r="T8" s="17"/>
    </row>
    <row r="9" spans="2:15" ht="17.25" customHeight="1">
      <c r="B9" s="9" t="s">
        <v>713</v>
      </c>
      <c r="G9" s="14"/>
      <c r="H9" s="14"/>
      <c r="J9" s="14"/>
      <c r="K9" s="14"/>
      <c r="L9" s="25"/>
      <c r="M9" s="14"/>
      <c r="O9" s="14"/>
    </row>
    <row r="10" spans="3:16" ht="16.5" customHeight="1">
      <c r="C10" s="9" t="s">
        <v>714</v>
      </c>
      <c r="G10" s="91" t="s">
        <v>359</v>
      </c>
      <c r="H10" s="16" t="s">
        <v>929</v>
      </c>
      <c r="I10" s="3"/>
      <c r="J10" s="91" t="s">
        <v>715</v>
      </c>
      <c r="K10" s="40">
        <v>63467</v>
      </c>
      <c r="L10" s="25"/>
      <c r="M10" s="40">
        <v>-44655</v>
      </c>
      <c r="N10" s="169"/>
      <c r="O10" s="40">
        <f>K10+M10</f>
        <v>18812</v>
      </c>
      <c r="P10" s="21"/>
    </row>
    <row r="11" spans="2:16" ht="21" customHeight="1" thickBot="1">
      <c r="B11" s="228" t="s">
        <v>716</v>
      </c>
      <c r="G11" s="34" t="s">
        <v>929</v>
      </c>
      <c r="H11" s="16" t="s">
        <v>929</v>
      </c>
      <c r="I11" s="3"/>
      <c r="J11" s="34" t="s">
        <v>929</v>
      </c>
      <c r="K11" s="222">
        <f>K10</f>
        <v>63467</v>
      </c>
      <c r="L11" s="237"/>
      <c r="M11" s="222">
        <f>M10</f>
        <v>-44655</v>
      </c>
      <c r="N11" s="238"/>
      <c r="O11" s="222">
        <f>O10</f>
        <v>18812</v>
      </c>
      <c r="P11" s="239"/>
    </row>
    <row r="12" spans="1:20" ht="18.75" thickTop="1">
      <c r="A12" s="23"/>
      <c r="B12" s="22"/>
      <c r="C12" s="22"/>
      <c r="D12" s="22"/>
      <c r="E12" s="7"/>
      <c r="F12" s="7"/>
      <c r="G12" s="14"/>
      <c r="H12" s="14"/>
      <c r="J12" s="14"/>
      <c r="K12" s="14"/>
      <c r="L12" s="25"/>
      <c r="M12" s="14"/>
      <c r="O12" s="14"/>
      <c r="T12" s="17"/>
    </row>
    <row r="13" spans="2:15" ht="21" customHeight="1">
      <c r="B13" s="9" t="s">
        <v>1175</v>
      </c>
      <c r="G13" s="14"/>
      <c r="H13" s="14"/>
      <c r="J13" s="14"/>
      <c r="K13" s="14"/>
      <c r="L13" s="25"/>
      <c r="M13" s="14"/>
      <c r="O13" s="14"/>
    </row>
    <row r="14" spans="3:16" ht="16.5" customHeight="1">
      <c r="C14" s="9" t="s">
        <v>588</v>
      </c>
      <c r="G14" s="91">
        <v>32808</v>
      </c>
      <c r="H14" s="92">
        <v>43753</v>
      </c>
      <c r="I14" s="3"/>
      <c r="J14" s="91">
        <v>43753</v>
      </c>
      <c r="K14" s="40">
        <v>4522.068</v>
      </c>
      <c r="L14" s="25"/>
      <c r="M14" s="47" t="s">
        <v>928</v>
      </c>
      <c r="N14" s="169"/>
      <c r="O14" s="40">
        <f aca="true" t="shared" si="0" ref="O14:O21">K14+M14</f>
        <v>4522.068</v>
      </c>
      <c r="P14" s="21"/>
    </row>
    <row r="15" spans="3:16" ht="16.5" customHeight="1">
      <c r="C15" s="9" t="s">
        <v>588</v>
      </c>
      <c r="G15" s="91">
        <v>33070</v>
      </c>
      <c r="H15" s="92">
        <v>44027</v>
      </c>
      <c r="I15" s="3"/>
      <c r="J15" s="91">
        <v>44027</v>
      </c>
      <c r="K15" s="40">
        <v>5026.13</v>
      </c>
      <c r="L15" s="20"/>
      <c r="M15" s="47" t="s">
        <v>928</v>
      </c>
      <c r="N15" s="27"/>
      <c r="O15" s="40">
        <f t="shared" si="0"/>
        <v>5026.13</v>
      </c>
      <c r="P15" s="21"/>
    </row>
    <row r="16" spans="3:16" ht="16.5" customHeight="1">
      <c r="C16" s="9" t="s">
        <v>589</v>
      </c>
      <c r="G16" s="91">
        <v>33151</v>
      </c>
      <c r="H16" s="92">
        <v>44119</v>
      </c>
      <c r="I16" s="3"/>
      <c r="J16" s="91">
        <v>44119</v>
      </c>
      <c r="K16" s="40">
        <v>2.75</v>
      </c>
      <c r="L16" s="20"/>
      <c r="M16" s="47" t="s">
        <v>928</v>
      </c>
      <c r="N16" s="27"/>
      <c r="O16" s="40">
        <f t="shared" si="0"/>
        <v>2.75</v>
      </c>
      <c r="P16" s="21"/>
    </row>
    <row r="17" spans="3:16" ht="16.5" customHeight="1">
      <c r="C17" s="9" t="s">
        <v>590</v>
      </c>
      <c r="G17" s="91">
        <v>33151</v>
      </c>
      <c r="H17" s="92">
        <v>44119</v>
      </c>
      <c r="I17" s="3"/>
      <c r="J17" s="91">
        <v>44119</v>
      </c>
      <c r="K17" s="40">
        <v>5000</v>
      </c>
      <c r="L17" s="20"/>
      <c r="M17" s="47" t="s">
        <v>928</v>
      </c>
      <c r="N17" s="27"/>
      <c r="O17" s="40">
        <f>K17+M17</f>
        <v>5000</v>
      </c>
      <c r="P17" s="21"/>
    </row>
    <row r="18" spans="3:16" ht="16.5" customHeight="1">
      <c r="C18" s="9" t="s">
        <v>588</v>
      </c>
      <c r="G18" s="91">
        <v>33252</v>
      </c>
      <c r="H18" s="92">
        <v>44211</v>
      </c>
      <c r="I18" s="3"/>
      <c r="J18" s="91">
        <v>44211</v>
      </c>
      <c r="K18" s="40">
        <v>4940.921</v>
      </c>
      <c r="L18" s="20"/>
      <c r="M18" s="47" t="s">
        <v>928</v>
      </c>
      <c r="N18" s="27"/>
      <c r="O18" s="40">
        <f t="shared" si="0"/>
        <v>4940.921</v>
      </c>
      <c r="P18" s="21"/>
    </row>
    <row r="19" spans="3:16" ht="16.5" customHeight="1">
      <c r="C19" s="9" t="s">
        <v>588</v>
      </c>
      <c r="G19" s="91">
        <v>32902</v>
      </c>
      <c r="H19" s="92">
        <v>47498</v>
      </c>
      <c r="I19" s="3"/>
      <c r="J19" s="91">
        <v>47498</v>
      </c>
      <c r="K19" s="40">
        <v>5002.232</v>
      </c>
      <c r="L19" s="20"/>
      <c r="M19" s="47" t="s">
        <v>928</v>
      </c>
      <c r="N19" s="27"/>
      <c r="O19" s="40">
        <f t="shared" si="0"/>
        <v>5002.232</v>
      </c>
      <c r="P19" s="21"/>
    </row>
    <row r="20" spans="3:16" ht="16.5" customHeight="1">
      <c r="C20" s="9" t="s">
        <v>588</v>
      </c>
      <c r="G20" s="91">
        <v>32979</v>
      </c>
      <c r="H20" s="92">
        <v>47588</v>
      </c>
      <c r="I20" s="3"/>
      <c r="J20" s="91">
        <v>47588</v>
      </c>
      <c r="K20" s="40">
        <v>3501.265</v>
      </c>
      <c r="L20" s="20"/>
      <c r="M20" s="47" t="s">
        <v>928</v>
      </c>
      <c r="N20" s="27"/>
      <c r="O20" s="40">
        <f t="shared" si="0"/>
        <v>3501.265</v>
      </c>
      <c r="P20" s="21"/>
    </row>
    <row r="21" spans="3:16" ht="16.5" customHeight="1">
      <c r="C21" s="9" t="s">
        <v>588</v>
      </c>
      <c r="G21" s="91">
        <v>33252</v>
      </c>
      <c r="H21" s="92">
        <v>47588</v>
      </c>
      <c r="I21" s="3"/>
      <c r="J21" s="91">
        <v>47588</v>
      </c>
      <c r="K21" s="40">
        <v>1999.814</v>
      </c>
      <c r="L21" s="20"/>
      <c r="M21" s="47" t="s">
        <v>928</v>
      </c>
      <c r="N21" s="27"/>
      <c r="O21" s="40">
        <f t="shared" si="0"/>
        <v>1999.814</v>
      </c>
      <c r="P21" s="21"/>
    </row>
    <row r="22" spans="2:16" ht="21" customHeight="1" thickBot="1">
      <c r="B22" s="228" t="s">
        <v>1178</v>
      </c>
      <c r="G22" s="34" t="s">
        <v>929</v>
      </c>
      <c r="H22" s="16" t="s">
        <v>929</v>
      </c>
      <c r="I22" s="3"/>
      <c r="J22" s="34" t="s">
        <v>929</v>
      </c>
      <c r="K22" s="222">
        <f>SUM(K14:K21)</f>
        <v>29995.179999999997</v>
      </c>
      <c r="L22" s="237"/>
      <c r="M22" s="225" t="s">
        <v>928</v>
      </c>
      <c r="N22" s="226"/>
      <c r="O22" s="222">
        <f>SUM(O14:O21)</f>
        <v>29995.179999999997</v>
      </c>
      <c r="P22" s="239"/>
    </row>
    <row r="23" spans="7:15" ht="15.75" customHeight="1" thickTop="1">
      <c r="G23" s="14"/>
      <c r="H23" s="14"/>
      <c r="I23" s="31"/>
      <c r="J23" s="14"/>
      <c r="K23" s="14"/>
      <c r="L23" s="25"/>
      <c r="M23" s="14"/>
      <c r="O23" s="14"/>
    </row>
    <row r="24" spans="2:15" ht="21" customHeight="1">
      <c r="B24" s="9" t="s">
        <v>1179</v>
      </c>
      <c r="E24" s="19"/>
      <c r="F24" s="156"/>
      <c r="G24" s="14"/>
      <c r="H24" s="14"/>
      <c r="J24" s="14"/>
      <c r="K24" s="14"/>
      <c r="L24" s="25"/>
      <c r="M24" s="167"/>
      <c r="O24" s="14"/>
    </row>
    <row r="25" spans="3:16" ht="16.5" customHeight="1">
      <c r="C25" s="132" t="s">
        <v>844</v>
      </c>
      <c r="G25" s="52">
        <v>37994</v>
      </c>
      <c r="H25" s="92">
        <v>38176</v>
      </c>
      <c r="I25" s="3"/>
      <c r="J25" s="91">
        <v>38176</v>
      </c>
      <c r="K25" s="40">
        <v>100</v>
      </c>
      <c r="L25" s="21"/>
      <c r="M25" s="47" t="s">
        <v>928</v>
      </c>
      <c r="N25" s="27"/>
      <c r="O25" s="40">
        <f>K25+M25</f>
        <v>100</v>
      </c>
      <c r="P25" s="41"/>
    </row>
    <row r="26" spans="3:16" ht="16.5" customHeight="1">
      <c r="C26" s="9" t="s">
        <v>591</v>
      </c>
      <c r="F26" s="156">
        <v>9</v>
      </c>
      <c r="G26" s="91">
        <v>33225</v>
      </c>
      <c r="H26" s="92">
        <v>43921</v>
      </c>
      <c r="I26" s="3"/>
      <c r="J26" s="91">
        <v>43921</v>
      </c>
      <c r="K26" s="40">
        <v>7258.00959</v>
      </c>
      <c r="L26" s="21"/>
      <c r="M26" s="51">
        <v>-4536.703</v>
      </c>
      <c r="N26" s="21"/>
      <c r="O26" s="40">
        <f>K26+M26</f>
        <v>2721.3065899999992</v>
      </c>
      <c r="P26" s="21"/>
    </row>
    <row r="27" spans="3:16" ht="16.5" customHeight="1">
      <c r="C27" s="9" t="s">
        <v>592</v>
      </c>
      <c r="F27" s="156">
        <v>9</v>
      </c>
      <c r="G27" s="91">
        <v>34066</v>
      </c>
      <c r="H27" s="92">
        <v>45016</v>
      </c>
      <c r="I27" s="3"/>
      <c r="J27" s="91">
        <v>45016</v>
      </c>
      <c r="K27" s="40">
        <v>6685</v>
      </c>
      <c r="L27" s="21"/>
      <c r="M27" s="51">
        <v>-3624.942</v>
      </c>
      <c r="N27" s="188"/>
      <c r="O27" s="40">
        <f>K27+M27</f>
        <v>3060.058</v>
      </c>
      <c r="P27" s="21"/>
    </row>
    <row r="28" spans="2:16" ht="20.25" customHeight="1" thickBot="1">
      <c r="B28" s="228" t="s">
        <v>1182</v>
      </c>
      <c r="G28" s="34" t="s">
        <v>929</v>
      </c>
      <c r="H28" s="16" t="s">
        <v>929</v>
      </c>
      <c r="I28" s="3"/>
      <c r="J28" s="34" t="s">
        <v>929</v>
      </c>
      <c r="K28" s="222">
        <f>SUM(K25:K27)</f>
        <v>14043.00959</v>
      </c>
      <c r="L28" s="223"/>
      <c r="M28" s="236">
        <f>SUM(M25:M27)</f>
        <v>-8161.645</v>
      </c>
      <c r="N28" s="223"/>
      <c r="O28" s="222">
        <f>SUM(O25:O27)</f>
        <v>5881.364589999999</v>
      </c>
      <c r="P28" s="223"/>
    </row>
    <row r="29" spans="7:15" ht="15.75" customHeight="1" thickTop="1">
      <c r="G29" s="14"/>
      <c r="H29" s="14"/>
      <c r="J29" s="14"/>
      <c r="K29" s="14"/>
      <c r="M29" s="14"/>
      <c r="O29" s="14"/>
    </row>
    <row r="30" spans="2:15" ht="21" customHeight="1">
      <c r="B30" s="9" t="s">
        <v>1183</v>
      </c>
      <c r="G30" s="14"/>
      <c r="H30" s="14"/>
      <c r="J30" s="14"/>
      <c r="K30" s="14"/>
      <c r="M30" s="14"/>
      <c r="O30" s="14"/>
    </row>
    <row r="31" spans="3:15" ht="16.5" customHeight="1">
      <c r="C31" s="9" t="s">
        <v>1184</v>
      </c>
      <c r="G31" s="14"/>
      <c r="H31" s="14"/>
      <c r="J31" s="14"/>
      <c r="K31" s="40"/>
      <c r="M31" s="40" t="s">
        <v>13</v>
      </c>
      <c r="O31" s="40"/>
    </row>
    <row r="32" spans="3:15" ht="16.5" customHeight="1">
      <c r="C32" s="9" t="s">
        <v>1185</v>
      </c>
      <c r="G32" s="34" t="s">
        <v>1174</v>
      </c>
      <c r="H32" s="16" t="s">
        <v>929</v>
      </c>
      <c r="I32" s="3"/>
      <c r="J32" s="34" t="s">
        <v>1186</v>
      </c>
      <c r="K32" s="40">
        <v>52.850988</v>
      </c>
      <c r="M32" s="51">
        <v>-51.797988</v>
      </c>
      <c r="N32" s="43"/>
      <c r="O32" s="53">
        <f>(K32+M32)</f>
        <v>1.0530000000000044</v>
      </c>
    </row>
    <row r="33" spans="2:16" ht="20.25" customHeight="1" thickBot="1">
      <c r="B33" s="228" t="s">
        <v>1187</v>
      </c>
      <c r="G33" s="34" t="s">
        <v>929</v>
      </c>
      <c r="H33" s="16" t="s">
        <v>929</v>
      </c>
      <c r="I33" s="3"/>
      <c r="J33" s="34" t="s">
        <v>929</v>
      </c>
      <c r="K33" s="222">
        <f>K32</f>
        <v>52.850988</v>
      </c>
      <c r="L33" s="235"/>
      <c r="M33" s="222">
        <f>M32</f>
        <v>-51.797988</v>
      </c>
      <c r="N33" s="235"/>
      <c r="O33" s="240">
        <f>(K33+M33)</f>
        <v>1.0530000000000044</v>
      </c>
      <c r="P33" s="235"/>
    </row>
    <row r="34" spans="7:15" ht="15.75" customHeight="1" thickTop="1">
      <c r="G34" s="14"/>
      <c r="H34" s="14"/>
      <c r="J34" s="14"/>
      <c r="K34" s="40"/>
      <c r="M34" s="40"/>
      <c r="O34" s="40"/>
    </row>
    <row r="35" spans="2:15" ht="21" customHeight="1">
      <c r="B35" s="9" t="s">
        <v>1191</v>
      </c>
      <c r="G35" s="14"/>
      <c r="H35" s="14"/>
      <c r="J35" s="14"/>
      <c r="K35" s="14"/>
      <c r="M35" s="14"/>
      <c r="O35" s="14"/>
    </row>
    <row r="36" spans="3:15" ht="16.5" customHeight="1">
      <c r="C36" s="9" t="s">
        <v>1192</v>
      </c>
      <c r="G36" s="14"/>
      <c r="H36" s="14"/>
      <c r="J36" s="14"/>
      <c r="K36" s="40"/>
      <c r="M36" s="40"/>
      <c r="O36" s="40"/>
    </row>
    <row r="37" spans="3:15" ht="16.5" customHeight="1">
      <c r="C37" s="9" t="s">
        <v>1193</v>
      </c>
      <c r="G37" s="34" t="s">
        <v>1174</v>
      </c>
      <c r="H37" s="16" t="s">
        <v>929</v>
      </c>
      <c r="I37" s="3"/>
      <c r="J37" s="34" t="s">
        <v>1194</v>
      </c>
      <c r="K37" s="40">
        <v>216349.739648</v>
      </c>
      <c r="M37" s="51">
        <v>-202359.211731</v>
      </c>
      <c r="N37" s="43"/>
      <c r="O37" s="93">
        <f>(K37+M37)</f>
        <v>13990.527917</v>
      </c>
    </row>
    <row r="38" spans="3:15" ht="16.5" customHeight="1">
      <c r="C38" s="9" t="s">
        <v>1195</v>
      </c>
      <c r="G38" s="14"/>
      <c r="H38" s="14"/>
      <c r="J38" s="14"/>
      <c r="K38" s="40"/>
      <c r="M38" s="51" t="s">
        <v>13</v>
      </c>
      <c r="N38" s="43"/>
      <c r="O38" s="40"/>
    </row>
    <row r="39" spans="3:15" ht="16.5" customHeight="1">
      <c r="C39" s="9" t="s">
        <v>1196</v>
      </c>
      <c r="G39" s="34" t="s">
        <v>1174</v>
      </c>
      <c r="H39" s="16" t="s">
        <v>929</v>
      </c>
      <c r="I39" s="3"/>
      <c r="J39" s="34" t="s">
        <v>1174</v>
      </c>
      <c r="K39" s="40">
        <v>361810.105194</v>
      </c>
      <c r="M39" s="51">
        <v>-248588.893265</v>
      </c>
      <c r="N39" s="43"/>
      <c r="O39" s="93">
        <f>(K39+M39)</f>
        <v>113221.21192900001</v>
      </c>
    </row>
    <row r="40" spans="3:15" ht="16.5" customHeight="1">
      <c r="C40" s="9" t="s">
        <v>1198</v>
      </c>
      <c r="G40" s="14"/>
      <c r="H40" s="14"/>
      <c r="J40" s="14"/>
      <c r="K40" s="40"/>
      <c r="M40" s="51" t="s">
        <v>13</v>
      </c>
      <c r="N40" s="43"/>
      <c r="O40" s="40"/>
    </row>
    <row r="41" spans="3:15" ht="16.5" customHeight="1">
      <c r="C41" s="9" t="s">
        <v>1196</v>
      </c>
      <c r="G41" s="34" t="s">
        <v>1174</v>
      </c>
      <c r="H41" s="16" t="s">
        <v>929</v>
      </c>
      <c r="I41" s="3"/>
      <c r="J41" s="34" t="s">
        <v>1174</v>
      </c>
      <c r="K41" s="40">
        <v>44554.418391</v>
      </c>
      <c r="M41" s="51">
        <v>-24368.913761</v>
      </c>
      <c r="N41" s="43"/>
      <c r="O41" s="93">
        <f>(K41+M41)</f>
        <v>20185.50463</v>
      </c>
    </row>
    <row r="42" spans="3:16" ht="16.5" customHeight="1">
      <c r="C42" s="9" t="s">
        <v>642</v>
      </c>
      <c r="F42" s="156">
        <v>9</v>
      </c>
      <c r="G42" s="34" t="s">
        <v>1174</v>
      </c>
      <c r="H42" s="16" t="s">
        <v>929</v>
      </c>
      <c r="I42" s="3"/>
      <c r="J42" s="34" t="s">
        <v>643</v>
      </c>
      <c r="K42" s="40">
        <v>4008.04240351</v>
      </c>
      <c r="L42" s="63"/>
      <c r="M42" s="51">
        <v>-3967.19519052</v>
      </c>
      <c r="N42" s="395"/>
      <c r="O42" s="93">
        <f>(K42+M42)</f>
        <v>40.847212990000116</v>
      </c>
      <c r="P42" s="63"/>
    </row>
    <row r="43" spans="3:16" ht="16.5" customHeight="1">
      <c r="C43" s="9" t="s">
        <v>1197</v>
      </c>
      <c r="G43" s="34" t="s">
        <v>1174</v>
      </c>
      <c r="H43" s="16" t="s">
        <v>929</v>
      </c>
      <c r="I43" s="3"/>
      <c r="J43" s="34" t="s">
        <v>929</v>
      </c>
      <c r="K43" s="72">
        <v>300.2574</v>
      </c>
      <c r="L43" s="73"/>
      <c r="M43" s="181">
        <v>-299.8575</v>
      </c>
      <c r="N43" s="182"/>
      <c r="O43" s="423" t="s">
        <v>1095</v>
      </c>
      <c r="P43" s="73"/>
    </row>
    <row r="44" spans="2:16" ht="21" customHeight="1">
      <c r="B44" s="228" t="s">
        <v>1199</v>
      </c>
      <c r="C44" s="9"/>
      <c r="F44" s="66"/>
      <c r="G44" s="34"/>
      <c r="H44" s="16"/>
      <c r="I44" s="3"/>
      <c r="J44" s="34"/>
      <c r="K44" s="40"/>
      <c r="L44" s="63"/>
      <c r="M44" s="40"/>
      <c r="N44" s="63"/>
      <c r="O44" s="93"/>
      <c r="P44" s="63"/>
    </row>
    <row r="45" spans="2:16" ht="20.25" customHeight="1" thickBot="1">
      <c r="B45" s="228" t="s">
        <v>1200</v>
      </c>
      <c r="G45" s="34" t="s">
        <v>929</v>
      </c>
      <c r="H45" s="16" t="s">
        <v>929</v>
      </c>
      <c r="I45" s="3"/>
      <c r="J45" s="34" t="s">
        <v>929</v>
      </c>
      <c r="K45" s="240">
        <f>SUM(K36:K43)</f>
        <v>627022.5630365099</v>
      </c>
      <c r="L45" s="241"/>
      <c r="M45" s="240">
        <f>SUM(M36:M43)</f>
        <v>-479584.07144751993</v>
      </c>
      <c r="N45" s="242"/>
      <c r="O45" s="240">
        <f>SUM(O36:O43)+0.3999</f>
        <v>147438.49158899</v>
      </c>
      <c r="P45" s="241"/>
    </row>
    <row r="46" spans="7:15" ht="15.75" customHeight="1" thickTop="1">
      <c r="G46" s="14"/>
      <c r="H46" s="14"/>
      <c r="J46" s="14"/>
      <c r="K46" s="14"/>
      <c r="L46" s="21"/>
      <c r="M46" s="14"/>
      <c r="O46" s="14"/>
    </row>
    <row r="47" spans="2:15" ht="21" customHeight="1">
      <c r="B47" s="9" t="s">
        <v>1201</v>
      </c>
      <c r="G47" s="14"/>
      <c r="H47" s="14"/>
      <c r="J47" s="14"/>
      <c r="K47" s="14"/>
      <c r="L47" s="21"/>
      <c r="M47" s="14"/>
      <c r="O47" s="14"/>
    </row>
    <row r="48" spans="3:15" ht="18" customHeight="1">
      <c r="C48" s="9" t="s">
        <v>1202</v>
      </c>
      <c r="F48" s="156" t="s">
        <v>820</v>
      </c>
      <c r="G48" s="14"/>
      <c r="H48" s="14"/>
      <c r="J48" s="14"/>
      <c r="K48" s="14"/>
      <c r="M48" s="167"/>
      <c r="O48" s="14"/>
    </row>
    <row r="49" spans="4:15" ht="16.5" customHeight="1">
      <c r="D49" s="9" t="s">
        <v>782</v>
      </c>
      <c r="F49" s="156"/>
      <c r="G49" s="34" t="s">
        <v>1174</v>
      </c>
      <c r="H49" s="16" t="s">
        <v>783</v>
      </c>
      <c r="I49" s="3"/>
      <c r="J49" s="34" t="s">
        <v>784</v>
      </c>
      <c r="K49" s="40">
        <v>99701.91925462</v>
      </c>
      <c r="M49" s="51">
        <v>-73071.32871753</v>
      </c>
      <c r="N49" s="43"/>
      <c r="O49" s="93">
        <f>+K49+M49</f>
        <v>26630.59053709</v>
      </c>
    </row>
    <row r="50" spans="4:15" ht="16.5" customHeight="1">
      <c r="D50" s="9" t="s">
        <v>785</v>
      </c>
      <c r="F50" s="156">
        <v>11</v>
      </c>
      <c r="G50" s="34" t="s">
        <v>1174</v>
      </c>
      <c r="H50" s="16" t="s">
        <v>783</v>
      </c>
      <c r="I50" s="3"/>
      <c r="J50" s="34" t="s">
        <v>784</v>
      </c>
      <c r="K50" s="40">
        <v>246495.48324389</v>
      </c>
      <c r="M50" s="51">
        <v>-117174.97362085</v>
      </c>
      <c r="N50" s="43"/>
      <c r="O50" s="93">
        <f>+K50+M50</f>
        <v>129320.50962304</v>
      </c>
    </row>
    <row r="51" spans="4:15" ht="16.5" customHeight="1">
      <c r="D51" s="132" t="s">
        <v>786</v>
      </c>
      <c r="F51" s="156"/>
      <c r="G51" s="14"/>
      <c r="H51" s="14"/>
      <c r="J51" s="14"/>
      <c r="K51" s="14"/>
      <c r="M51" s="167"/>
      <c r="N51" s="43"/>
      <c r="O51" s="14"/>
    </row>
    <row r="52" spans="4:15" ht="16.5" customHeight="1">
      <c r="D52" s="9" t="s">
        <v>789</v>
      </c>
      <c r="F52" s="156"/>
      <c r="G52" s="34" t="s">
        <v>1174</v>
      </c>
      <c r="H52" s="16" t="s">
        <v>783</v>
      </c>
      <c r="I52" s="3"/>
      <c r="J52" s="34" t="s">
        <v>784</v>
      </c>
      <c r="K52" s="40">
        <v>399.92524156</v>
      </c>
      <c r="M52" s="51">
        <v>-399.32951368</v>
      </c>
      <c r="N52" s="43"/>
      <c r="O52" s="93">
        <f>+K52+M52</f>
        <v>0.5957278800000267</v>
      </c>
    </row>
    <row r="53" spans="4:15" ht="16.5" customHeight="1">
      <c r="D53" s="9" t="s">
        <v>790</v>
      </c>
      <c r="F53" s="159"/>
      <c r="G53" s="34" t="s">
        <v>1174</v>
      </c>
      <c r="H53" s="16" t="s">
        <v>783</v>
      </c>
      <c r="I53" s="3"/>
      <c r="J53" s="34" t="s">
        <v>1186</v>
      </c>
      <c r="K53" s="40">
        <v>3658.3965</v>
      </c>
      <c r="M53" s="51">
        <v>-3223.987</v>
      </c>
      <c r="N53" s="43"/>
      <c r="O53" s="93">
        <f>+K53+M53</f>
        <v>434.40949999999975</v>
      </c>
    </row>
    <row r="54" spans="4:15" ht="16.5" customHeight="1">
      <c r="D54" s="9" t="s">
        <v>794</v>
      </c>
      <c r="F54" s="159"/>
      <c r="G54" s="34" t="s">
        <v>1174</v>
      </c>
      <c r="H54" s="16" t="s">
        <v>783</v>
      </c>
      <c r="I54" s="3"/>
      <c r="J54" s="34" t="s">
        <v>1186</v>
      </c>
      <c r="K54" s="40">
        <v>19787.342</v>
      </c>
      <c r="M54" s="51">
        <v>-6408.6695</v>
      </c>
      <c r="N54" s="43"/>
      <c r="O54" s="93">
        <f>(K54+M54)</f>
        <v>13378.6725</v>
      </c>
    </row>
    <row r="55" spans="4:15" ht="16.5" customHeight="1">
      <c r="D55" s="9" t="s">
        <v>797</v>
      </c>
      <c r="F55" s="159"/>
      <c r="G55" s="34" t="s">
        <v>1174</v>
      </c>
      <c r="H55" s="16" t="s">
        <v>783</v>
      </c>
      <c r="I55" s="3"/>
      <c r="J55" s="34" t="s">
        <v>1186</v>
      </c>
      <c r="K55" s="40">
        <v>24.75061139</v>
      </c>
      <c r="M55" s="51" t="s">
        <v>898</v>
      </c>
      <c r="N55" s="27"/>
      <c r="O55" s="93">
        <f>(K55+M55)</f>
        <v>24.75061139</v>
      </c>
    </row>
    <row r="56" spans="4:15" ht="16.5" customHeight="1">
      <c r="D56" s="9" t="s">
        <v>798</v>
      </c>
      <c r="F56" s="156">
        <v>11</v>
      </c>
      <c r="G56" s="34" t="s">
        <v>1174</v>
      </c>
      <c r="H56" s="16" t="s">
        <v>783</v>
      </c>
      <c r="I56" s="3"/>
      <c r="J56" s="34" t="s">
        <v>784</v>
      </c>
      <c r="K56" s="40">
        <v>24335.8036315</v>
      </c>
      <c r="M56" s="51">
        <v>-1293.00287211</v>
      </c>
      <c r="N56" s="43"/>
      <c r="O56" s="93">
        <f>(K56+M56)</f>
        <v>23042.80075939</v>
      </c>
    </row>
    <row r="57" spans="3:16" ht="18" customHeight="1">
      <c r="C57" s="9" t="s">
        <v>799</v>
      </c>
      <c r="F57" s="159"/>
      <c r="G57" s="34" t="s">
        <v>929</v>
      </c>
      <c r="H57" s="16" t="s">
        <v>929</v>
      </c>
      <c r="I57" s="3"/>
      <c r="J57" s="34" t="s">
        <v>929</v>
      </c>
      <c r="K57" s="56">
        <f>SUM(K49:K56)</f>
        <v>394403.6204829599</v>
      </c>
      <c r="L57" s="57"/>
      <c r="M57" s="56">
        <f>SUM(M49:M56)+0.0021322</f>
        <v>-201571.28909197</v>
      </c>
      <c r="N57" s="57"/>
      <c r="O57" s="56">
        <f>+K57+M57+0.0021322</f>
        <v>192832.3335231899</v>
      </c>
      <c r="P57" s="57"/>
    </row>
    <row r="58" spans="3:15" ht="16.5" customHeight="1">
      <c r="C58" s="9" t="s">
        <v>800</v>
      </c>
      <c r="F58" s="159"/>
      <c r="G58" s="14"/>
      <c r="H58" s="14"/>
      <c r="J58" s="14"/>
      <c r="K58" s="14"/>
      <c r="M58" s="40"/>
      <c r="O58" s="14"/>
    </row>
    <row r="59" spans="3:15" ht="16.5" customHeight="1">
      <c r="C59" s="9" t="s">
        <v>801</v>
      </c>
      <c r="F59" s="158" t="s">
        <v>821</v>
      </c>
      <c r="G59" s="34" t="s">
        <v>1174</v>
      </c>
      <c r="H59" s="16" t="s">
        <v>783</v>
      </c>
      <c r="I59" s="3"/>
      <c r="J59" s="34" t="s">
        <v>784</v>
      </c>
      <c r="K59" s="40">
        <v>82.58592279</v>
      </c>
      <c r="M59" s="40">
        <v>-69.8434092</v>
      </c>
      <c r="O59" s="93">
        <f>(K59+M59)</f>
        <v>12.742513590000001</v>
      </c>
    </row>
    <row r="60" spans="3:16" ht="16.5" customHeight="1">
      <c r="C60" s="9" t="s">
        <v>802</v>
      </c>
      <c r="F60" s="159"/>
      <c r="G60" s="14"/>
      <c r="H60" s="14"/>
      <c r="J60" s="14"/>
      <c r="K60" s="14"/>
      <c r="M60" s="40"/>
      <c r="O60" s="14"/>
      <c r="P60" s="21"/>
    </row>
    <row r="61" spans="3:16" ht="16.5" customHeight="1">
      <c r="C61" s="9" t="s">
        <v>803</v>
      </c>
      <c r="F61" s="156">
        <v>13</v>
      </c>
      <c r="G61" s="34" t="s">
        <v>1174</v>
      </c>
      <c r="H61" s="16" t="s">
        <v>783</v>
      </c>
      <c r="I61" s="3"/>
      <c r="J61" s="34" t="s">
        <v>784</v>
      </c>
      <c r="K61" s="40">
        <v>379.53403937</v>
      </c>
      <c r="L61" s="21"/>
      <c r="M61" s="40">
        <v>-331.68920185</v>
      </c>
      <c r="N61" s="21"/>
      <c r="O61" s="93">
        <f>(K61+M61)</f>
        <v>47.84483752</v>
      </c>
      <c r="P61" s="21"/>
    </row>
    <row r="62" spans="2:16" ht="20.25" customHeight="1">
      <c r="B62" s="9" t="s">
        <v>1166</v>
      </c>
      <c r="G62" s="34"/>
      <c r="H62" s="16" t="s">
        <v>929</v>
      </c>
      <c r="I62" s="3"/>
      <c r="J62" s="34" t="s">
        <v>929</v>
      </c>
      <c r="K62" s="56">
        <f>K57+K59+K61</f>
        <v>394865.7404451199</v>
      </c>
      <c r="L62" s="57"/>
      <c r="M62" s="56">
        <f>M57+M59+M61</f>
        <v>-201972.82170302</v>
      </c>
      <c r="N62" s="57"/>
      <c r="O62" s="56">
        <f>O57+O59+O61</f>
        <v>192892.92087429992</v>
      </c>
      <c r="P62" s="57"/>
    </row>
    <row r="63" spans="2:16" ht="15.75" customHeight="1">
      <c r="B63" s="9" t="s">
        <v>679</v>
      </c>
      <c r="G63" s="34"/>
      <c r="H63" s="16" t="s">
        <v>929</v>
      </c>
      <c r="I63" s="3"/>
      <c r="J63" s="34" t="s">
        <v>929</v>
      </c>
      <c r="K63" s="40">
        <v>11360.92299748</v>
      </c>
      <c r="L63" s="21"/>
      <c r="M63" s="47" t="s">
        <v>928</v>
      </c>
      <c r="N63" s="27"/>
      <c r="O63" s="93">
        <f>+K63</f>
        <v>11360.92299748</v>
      </c>
      <c r="P63" s="63"/>
    </row>
    <row r="64" spans="2:16" ht="15.75" customHeight="1" thickBot="1">
      <c r="B64" s="228" t="s">
        <v>858</v>
      </c>
      <c r="G64" s="34"/>
      <c r="H64" s="16" t="s">
        <v>929</v>
      </c>
      <c r="I64" s="3"/>
      <c r="J64" s="34" t="s">
        <v>929</v>
      </c>
      <c r="K64" s="222">
        <f>+K62+K63</f>
        <v>406226.66344259994</v>
      </c>
      <c r="L64" s="235"/>
      <c r="M64" s="222">
        <f>+M62+M63</f>
        <v>-201972.82170302</v>
      </c>
      <c r="N64" s="235"/>
      <c r="O64" s="222">
        <f>+O62+O63</f>
        <v>204253.8438717799</v>
      </c>
      <c r="P64" s="54"/>
    </row>
    <row r="65" spans="2:16" ht="15.75" customHeight="1" thickTop="1">
      <c r="B65" s="228"/>
      <c r="G65" s="131"/>
      <c r="H65" s="97"/>
      <c r="I65" s="3"/>
      <c r="J65" s="131"/>
      <c r="K65" s="273"/>
      <c r="L65" s="356"/>
      <c r="M65" s="273"/>
      <c r="N65" s="356"/>
      <c r="O65" s="273"/>
      <c r="P65" s="63"/>
    </row>
    <row r="66" spans="2:16" ht="15.75" customHeight="1">
      <c r="B66" s="228"/>
      <c r="G66" s="131"/>
      <c r="H66" s="97"/>
      <c r="I66" s="3"/>
      <c r="J66" s="131"/>
      <c r="K66" s="273"/>
      <c r="L66" s="356"/>
      <c r="M66" s="273"/>
      <c r="N66" s="356"/>
      <c r="O66" s="273"/>
      <c r="P66" s="63"/>
    </row>
    <row r="67" spans="2:16" ht="15.75" customHeight="1">
      <c r="B67" s="228"/>
      <c r="G67" s="131"/>
      <c r="H67" s="97"/>
      <c r="I67" s="3"/>
      <c r="J67" s="131"/>
      <c r="K67" s="273"/>
      <c r="L67" s="356"/>
      <c r="M67" s="273"/>
      <c r="N67" s="356"/>
      <c r="O67" s="273"/>
      <c r="P67" s="63"/>
    </row>
    <row r="68" spans="2:16" ht="15.75" customHeight="1">
      <c r="B68" s="228"/>
      <c r="G68" s="131"/>
      <c r="H68" s="97"/>
      <c r="I68" s="3"/>
      <c r="J68" s="131"/>
      <c r="K68" s="273"/>
      <c r="L68" s="356"/>
      <c r="M68" s="273"/>
      <c r="N68" s="356"/>
      <c r="O68" s="273"/>
      <c r="P68" s="63"/>
    </row>
    <row r="69" spans="2:16" ht="15.75" customHeight="1">
      <c r="B69" s="228"/>
      <c r="G69" s="131"/>
      <c r="H69" s="97"/>
      <c r="I69" s="3"/>
      <c r="J69" s="131"/>
      <c r="K69" s="273"/>
      <c r="L69" s="356"/>
      <c r="M69" s="273"/>
      <c r="N69" s="356"/>
      <c r="O69" s="273"/>
      <c r="P69" s="63"/>
    </row>
    <row r="70" spans="2:16" ht="15.75" customHeight="1">
      <c r="B70" s="228"/>
      <c r="G70" s="131"/>
      <c r="H70" s="97"/>
      <c r="I70" s="3"/>
      <c r="J70" s="131"/>
      <c r="K70" s="273"/>
      <c r="L70" s="356"/>
      <c r="M70" s="273"/>
      <c r="N70" s="356"/>
      <c r="O70" s="273"/>
      <c r="P70" s="63"/>
    </row>
    <row r="71" spans="2:16" ht="15.75" customHeight="1">
      <c r="B71" s="228"/>
      <c r="G71" s="131"/>
      <c r="H71" s="97"/>
      <c r="I71" s="3"/>
      <c r="J71" s="131"/>
      <c r="K71" s="273"/>
      <c r="L71" s="356"/>
      <c r="M71" s="273"/>
      <c r="N71" s="356"/>
      <c r="O71" s="273"/>
      <c r="P71" s="63"/>
    </row>
    <row r="72" spans="2:16" ht="15.75" customHeight="1">
      <c r="B72" s="228"/>
      <c r="G72" s="131"/>
      <c r="H72" s="97"/>
      <c r="I72" s="3"/>
      <c r="J72" s="131"/>
      <c r="K72" s="273"/>
      <c r="L72" s="356"/>
      <c r="M72" s="273"/>
      <c r="N72" s="356"/>
      <c r="O72" s="273"/>
      <c r="P72" s="63"/>
    </row>
    <row r="73" spans="2:16" ht="15.75" customHeight="1">
      <c r="B73" s="228"/>
      <c r="G73" s="131"/>
      <c r="H73" s="97"/>
      <c r="I73" s="3"/>
      <c r="J73" s="131"/>
      <c r="K73" s="273"/>
      <c r="L73" s="356"/>
      <c r="M73" s="273"/>
      <c r="N73" s="356"/>
      <c r="O73" s="273"/>
      <c r="P73" s="63"/>
    </row>
    <row r="74" spans="2:16" ht="15.75" customHeight="1">
      <c r="B74" s="228"/>
      <c r="G74" s="131"/>
      <c r="H74" s="97"/>
      <c r="I74" s="3"/>
      <c r="J74" s="131"/>
      <c r="K74" s="273"/>
      <c r="L74" s="356"/>
      <c r="M74" s="273"/>
      <c r="N74" s="356"/>
      <c r="O74" s="273"/>
      <c r="P74" s="63"/>
    </row>
    <row r="75" spans="2:16" ht="15.75" customHeight="1">
      <c r="B75" s="228"/>
      <c r="G75" s="131"/>
      <c r="H75" s="97"/>
      <c r="I75" s="3"/>
      <c r="J75" s="131"/>
      <c r="K75" s="273"/>
      <c r="L75" s="356"/>
      <c r="M75" s="273"/>
      <c r="N75" s="356"/>
      <c r="O75" s="273"/>
      <c r="P75" s="63"/>
    </row>
    <row r="76" spans="2:16" ht="15.75" customHeight="1">
      <c r="B76" s="228"/>
      <c r="G76" s="131"/>
      <c r="H76" s="97"/>
      <c r="I76" s="3"/>
      <c r="J76" s="131"/>
      <c r="K76" s="273"/>
      <c r="L76" s="356"/>
      <c r="M76" s="273"/>
      <c r="N76" s="356"/>
      <c r="O76" s="273"/>
      <c r="P76" s="63"/>
    </row>
    <row r="77" spans="2:16" ht="15.75" customHeight="1">
      <c r="B77" s="228"/>
      <c r="G77" s="131"/>
      <c r="H77" s="97"/>
      <c r="I77" s="3"/>
      <c r="J77" s="131"/>
      <c r="K77" s="273"/>
      <c r="L77" s="356"/>
      <c r="M77" s="273"/>
      <c r="N77" s="356"/>
      <c r="O77" s="273"/>
      <c r="P77" s="63"/>
    </row>
    <row r="78" spans="2:16" ht="15.75" customHeight="1">
      <c r="B78" s="228"/>
      <c r="G78" s="131"/>
      <c r="H78" s="97"/>
      <c r="I78" s="3"/>
      <c r="J78" s="131"/>
      <c r="K78" s="273"/>
      <c r="L78" s="356"/>
      <c r="M78" s="273"/>
      <c r="N78" s="356"/>
      <c r="O78" s="273"/>
      <c r="P78" s="63"/>
    </row>
    <row r="79" s="100" customFormat="1" ht="15.75" customHeight="1" thickBot="1"/>
    <row r="80" ht="15.75" thickTop="1"/>
  </sheetData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99"/>
  <sheetViews>
    <sheetView showGridLines="0" view="pageBreakPreview" zoomScale="70" zoomScaleNormal="60" zoomScaleSheetLayoutView="70" workbookViewId="0" topLeftCell="A1">
      <selection activeCell="A1" sqref="A1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9.3359375" style="0" bestFit="1" customWidth="1"/>
    <col min="16" max="16" width="12.5546875" style="0" bestFit="1" customWidth="1"/>
  </cols>
  <sheetData>
    <row r="1" spans="2:13" ht="16.5" customHeight="1">
      <c r="B1" s="2" t="str">
        <f>(Marketable!B86)</f>
        <v>TABLE III - DETAIL OF TREASURY SECURITIES OUTSTANDING, JANUARY 31, 2004 -- Continued</v>
      </c>
      <c r="C1" s="3"/>
      <c r="D1" s="2"/>
      <c r="E1" s="3"/>
      <c r="F1" s="3"/>
      <c r="G1" s="3"/>
      <c r="H1" s="3"/>
      <c r="I1" s="3"/>
      <c r="J1" s="3"/>
      <c r="K1" s="3"/>
      <c r="L1" s="3"/>
      <c r="M1" s="58">
        <v>7</v>
      </c>
    </row>
    <row r="2" spans="4:13" ht="11.25" customHeight="1" thickBot="1">
      <c r="D2" s="2"/>
      <c r="E2" s="3"/>
      <c r="F2" s="3"/>
      <c r="G2" s="3"/>
      <c r="H2" s="3"/>
      <c r="I2" s="3"/>
      <c r="J2" s="3"/>
      <c r="K2" s="3"/>
      <c r="L2" s="3"/>
      <c r="M2" s="58"/>
    </row>
    <row r="3" spans="1:13" ht="15.75" customHeight="1" thickTop="1">
      <c r="A3" s="32"/>
      <c r="B3" s="32"/>
      <c r="C3" s="32"/>
      <c r="D3" s="32"/>
      <c r="E3" s="32"/>
      <c r="F3" s="32"/>
      <c r="G3" s="32"/>
      <c r="H3" s="26"/>
      <c r="I3" s="32"/>
      <c r="J3" s="32"/>
      <c r="K3" s="32"/>
      <c r="L3" s="32"/>
      <c r="M3" s="32"/>
    </row>
    <row r="4" spans="8:13" ht="15.75" customHeight="1">
      <c r="H4" s="16" t="s">
        <v>451</v>
      </c>
      <c r="I4" s="3"/>
      <c r="J4" s="3"/>
      <c r="K4" s="3"/>
      <c r="L4" s="3"/>
      <c r="M4" s="3"/>
    </row>
    <row r="5" spans="1:13" ht="15.75" customHeight="1">
      <c r="A5" s="3" t="s">
        <v>452</v>
      </c>
      <c r="B5" s="3"/>
      <c r="C5" s="3"/>
      <c r="D5" s="3"/>
      <c r="E5" s="3"/>
      <c r="F5" s="3"/>
      <c r="G5" s="3"/>
      <c r="H5" s="16" t="s">
        <v>13</v>
      </c>
      <c r="I5" s="3"/>
      <c r="J5" s="3"/>
      <c r="K5" s="3"/>
      <c r="L5" s="3"/>
      <c r="M5" s="3"/>
    </row>
    <row r="6" spans="1:13" ht="16.5" customHeight="1">
      <c r="A6" s="15"/>
      <c r="B6" s="15"/>
      <c r="C6" s="15"/>
      <c r="D6" s="15"/>
      <c r="E6" s="15"/>
      <c r="F6" s="15"/>
      <c r="G6" s="15"/>
      <c r="H6" s="37" t="s">
        <v>456</v>
      </c>
      <c r="I6" s="38"/>
      <c r="J6" s="37" t="s">
        <v>923</v>
      </c>
      <c r="K6" s="38"/>
      <c r="L6" s="37" t="s">
        <v>16</v>
      </c>
      <c r="M6" s="38"/>
    </row>
    <row r="7" spans="8:12" ht="15.75" customHeight="1">
      <c r="H7" s="14"/>
      <c r="J7" s="14"/>
      <c r="L7" s="14"/>
    </row>
    <row r="8" spans="1:12" ht="18" customHeight="1">
      <c r="A8" s="43"/>
      <c r="B8" s="7" t="s">
        <v>806</v>
      </c>
      <c r="H8" s="14"/>
      <c r="J8" s="14"/>
      <c r="L8" s="14"/>
    </row>
    <row r="9" spans="2:15" ht="21" customHeight="1">
      <c r="B9" s="164" t="s">
        <v>258</v>
      </c>
      <c r="C9" s="78"/>
      <c r="D9" s="78"/>
      <c r="H9" s="40"/>
      <c r="I9" s="21"/>
      <c r="J9" s="40"/>
      <c r="K9" s="21"/>
      <c r="L9" s="40"/>
      <c r="M9" s="21"/>
      <c r="O9" s="288"/>
    </row>
    <row r="10" spans="3:15" ht="15.75" customHeight="1">
      <c r="C10" s="9" t="s">
        <v>587</v>
      </c>
      <c r="H10" s="415">
        <f>IF(VLOOKUP(GAS!N10,'GAS ASCII'!$B$2:$C$200,2)&gt;=500000,VLOOKUP(GAS!N10,'GAS ASCII'!$B$2:$C$200,2)/1000000,IF(VLOOKUP(GAS!N10,'GAS ASCII'!$B$2:$C$200,2)&lt;=0,"……………….","*"))</f>
        <v>445.64103468</v>
      </c>
      <c r="I10" s="21" t="s">
        <v>13</v>
      </c>
      <c r="J10" s="415">
        <f>IF(VLOOKUP(GAS!N10,'GAS ASCII'!$B$2:$D$200,3)&gt;=500000,VLOOKUP(GAS!N10,'GAS ASCII'!$B$2:$D$200,3)/-1000000,IF(VLOOKUP(GAS!N10,'GAS ASCII'!$B$2:$D$200,3)&lt;=0,"……………….","*"))</f>
        <v>-2.631</v>
      </c>
      <c r="K10" s="21"/>
      <c r="L10" s="415">
        <f>IF(VLOOKUP(GAS!N10,'GAS ASCII'!$B$2:$E$200,4)&gt;=500000,VLOOKUP(GAS!N10,'GAS ASCII'!$B$2:$E$200,4)/1000000,IF(VLOOKUP(GAS!N10,'GAS ASCII'!$B$2:$E$200,4)&lt;=0,"……………….","*"))</f>
        <v>443.01003468</v>
      </c>
      <c r="M10" s="21"/>
      <c r="N10" t="s">
        <v>29</v>
      </c>
      <c r="O10" s="288"/>
    </row>
    <row r="11" spans="3:15" ht="15.75" customHeight="1">
      <c r="C11" s="9"/>
      <c r="H11" s="415"/>
      <c r="I11" s="21"/>
      <c r="J11" s="415"/>
      <c r="K11" s="21"/>
      <c r="L11" s="415"/>
      <c r="M11" s="21"/>
      <c r="O11" s="288"/>
    </row>
    <row r="12" spans="3:15" ht="15.75" customHeight="1">
      <c r="C12" s="9" t="s">
        <v>1014</v>
      </c>
      <c r="H12" s="415"/>
      <c r="I12" s="21"/>
      <c r="J12" s="415"/>
      <c r="K12" s="21"/>
      <c r="L12" s="415"/>
      <c r="M12" s="21"/>
      <c r="O12" s="288"/>
    </row>
    <row r="13" spans="3:15" ht="15.75" customHeight="1">
      <c r="C13" s="9" t="s">
        <v>1016</v>
      </c>
      <c r="H13" s="415">
        <f>IF(VLOOKUP(GAS!N13,'GAS ASCII'!$B$2:$C$200,2)&gt;=500000,VLOOKUP(GAS!N13,'GAS ASCII'!$B$2:$C$200,2)/1000000,IF(VLOOKUP(GAS!N13,'GAS ASCII'!$B$2:$C$200,2)&lt;=0,"……………….","*"))</f>
        <v>0.57678248</v>
      </c>
      <c r="I13" s="21"/>
      <c r="J13" s="415" t="str">
        <f>IF(VLOOKUP(GAS!N13,'GAS ASCII'!$B$2:$D$200,3)&gt;=500000,VLOOKUP(GAS!N13,'GAS ASCII'!$B$2:$D$200,3)/-1000000,IF(VLOOKUP(GAS!N13,'GAS ASCII'!$B$2:$D$200,3)&lt;=0,"……………….","*"))</f>
        <v>……………….</v>
      </c>
      <c r="K13" s="27"/>
      <c r="L13" s="415">
        <f>IF(VLOOKUP(GAS!N13,'GAS ASCII'!$B$2:$E$200,4)&gt;=500000,VLOOKUP(GAS!N13,'GAS ASCII'!$B$2:$E$200,4)/1000000,IF(VLOOKUP(GAS!N13,'GAS ASCII'!$B$2:$E$200,4)&lt;=0,"……………….","*"))</f>
        <v>0.57678248</v>
      </c>
      <c r="M13" s="21"/>
      <c r="N13" t="s">
        <v>31</v>
      </c>
      <c r="O13" s="288"/>
    </row>
    <row r="14" spans="3:15" ht="15.75" customHeight="1">
      <c r="C14" s="9"/>
      <c r="H14" s="415"/>
      <c r="I14" s="21"/>
      <c r="J14" s="415"/>
      <c r="K14" s="27"/>
      <c r="L14" s="415"/>
      <c r="M14" s="21"/>
      <c r="O14" s="288"/>
    </row>
    <row r="15" spans="3:15" ht="15.75" customHeight="1">
      <c r="C15" s="9" t="s">
        <v>680</v>
      </c>
      <c r="H15" s="415">
        <f>IF(VLOOKUP(GAS!N15,'GAS ASCII'!$B$2:$C$200,2)&gt;=500000,VLOOKUP(GAS!N15,'GAS ASCII'!$B$2:$C$200,2)/1000000,IF(VLOOKUP(GAS!N15,'GAS ASCII'!$B$2:$C$200,2)&lt;=0,"……………….","*"))</f>
        <v>16.788</v>
      </c>
      <c r="I15" s="21"/>
      <c r="J15" s="415" t="str">
        <f>IF(VLOOKUP(GAS!N15,'GAS ASCII'!$B$2:$D$200,3)&gt;=500000,VLOOKUP(GAS!N15,'GAS ASCII'!$B$2:$D$200,3)/-1000000,IF(VLOOKUP(GAS!N15,'GAS ASCII'!$B$2:$D$200,3)&lt;=0,"……………….","*"))</f>
        <v>……………….</v>
      </c>
      <c r="K15" s="27"/>
      <c r="L15" s="415">
        <f>IF(VLOOKUP(GAS!N15,'GAS ASCII'!$B$2:$E$200,4)&gt;=500000,VLOOKUP(GAS!N15,'GAS ASCII'!$B$2:$E$200,4)/1000000,IF(VLOOKUP(GAS!N15,'GAS ASCII'!$B$2:$E$200,4)&lt;=0,"……………….","*"))</f>
        <v>16.788</v>
      </c>
      <c r="M15" s="21"/>
      <c r="N15" t="s">
        <v>33</v>
      </c>
      <c r="O15" s="288"/>
    </row>
    <row r="16" spans="3:15" ht="15.75" customHeight="1">
      <c r="C16" s="9"/>
      <c r="H16" s="415"/>
      <c r="I16" s="21"/>
      <c r="J16" s="415"/>
      <c r="K16" s="27"/>
      <c r="L16" s="415"/>
      <c r="M16" s="21"/>
      <c r="O16" s="288"/>
    </row>
    <row r="17" spans="3:15" ht="15.75" customHeight="1">
      <c r="C17" s="9" t="s">
        <v>593</v>
      </c>
      <c r="H17" s="415">
        <f>IF(VLOOKUP(GAS!N17,'GAS ASCII'!$B$2:$C$200,2)&gt;=500000,VLOOKUP(GAS!N17,'GAS ASCII'!$B$2:$C$200,2)/1000000,IF(VLOOKUP(GAS!N17,'GAS ASCII'!$B$2:$C$200,2)&lt;=0,"……………….","*"))</f>
        <v>102.579</v>
      </c>
      <c r="I17" s="21"/>
      <c r="J17" s="415">
        <f>IF(VLOOKUP(GAS!N17,'GAS ASCII'!$B$2:$D$200,3)&gt;=500000,VLOOKUP(GAS!N17,'GAS ASCII'!$B$2:$D$200,3)/-1000000,IF(VLOOKUP(GAS!N17,'GAS ASCII'!$B$2:$D$200,3)&lt;=0,"……………….","*"))</f>
        <v>-27.236</v>
      </c>
      <c r="K17" s="21"/>
      <c r="L17" s="415">
        <f>IF(VLOOKUP(GAS!N17,'GAS ASCII'!$B$2:$E$200,4)&gt;=500000,VLOOKUP(GAS!N17,'GAS ASCII'!$B$2:$E$200,4)/1000000,IF(VLOOKUP(GAS!N17,'GAS ASCII'!$B$2:$E$200,4)&lt;=0,"……………….","*"))</f>
        <v>75.343</v>
      </c>
      <c r="M17" s="21"/>
      <c r="N17" t="s">
        <v>35</v>
      </c>
      <c r="O17" s="288"/>
    </row>
    <row r="18" spans="3:15" ht="15.75" customHeight="1">
      <c r="C18" s="9"/>
      <c r="H18" s="415"/>
      <c r="I18" s="21"/>
      <c r="J18" s="415"/>
      <c r="K18" s="21"/>
      <c r="L18" s="415"/>
      <c r="M18" s="21"/>
      <c r="O18" s="288"/>
    </row>
    <row r="19" spans="3:15" ht="15.75" customHeight="1">
      <c r="C19" s="9" t="s">
        <v>594</v>
      </c>
      <c r="H19" s="415" t="str">
        <f>IF(VLOOKUP(GAS!N19,'GAS ASCII'!$B$2:$C$200,2)&gt;=500000,VLOOKUP(GAS!N19,'GAS ASCII'!$B$2:$C$200,2)/1000000,IF(VLOOKUP(GAS!N19,'GAS ASCII'!$B$2:$C$200,2)&lt;=0,"……………….","*"))</f>
        <v>*</v>
      </c>
      <c r="I19" s="21"/>
      <c r="J19" s="415" t="str">
        <f>IF(VLOOKUP(GAS!N19,'GAS ASCII'!$B$2:$D$200,3)&gt;=500000,VLOOKUP(GAS!N19,'GAS ASCII'!$B$2:$D$200,3)/-1000000,IF(VLOOKUP(GAS!N19,'GAS ASCII'!$B$2:$D$200,3)&lt;=0,"……………….","*"))</f>
        <v>……………….</v>
      </c>
      <c r="K19" s="27"/>
      <c r="L19" s="415" t="str">
        <f>IF(VLOOKUP(GAS!N19,'GAS ASCII'!$B$2:$E$200,4)&gt;=500000,VLOOKUP(GAS!N19,'GAS ASCII'!$B$2:$E$200,4)/1000000,IF(VLOOKUP(GAS!N19,'GAS ASCII'!$B$2:$E$200,4)&lt;=0,"……………….","*"))</f>
        <v>*</v>
      </c>
      <c r="M19" s="21"/>
      <c r="N19" t="s">
        <v>37</v>
      </c>
      <c r="O19" s="288"/>
    </row>
    <row r="20" spans="3:15" ht="15.75" customHeight="1">
      <c r="C20" s="9"/>
      <c r="H20" s="415"/>
      <c r="I20" s="21"/>
      <c r="J20" s="415"/>
      <c r="K20" s="27"/>
      <c r="L20" s="415"/>
      <c r="M20" s="21"/>
      <c r="O20" s="288"/>
    </row>
    <row r="21" spans="3:15" ht="15.75" customHeight="1">
      <c r="C21" s="9" t="s">
        <v>995</v>
      </c>
      <c r="H21" s="415">
        <f>IF(VLOOKUP(GAS!N21,'GAS ASCII'!$B$2:$C$200,2)&gt;=500000,VLOOKUP(GAS!N21,'GAS ASCII'!$B$2:$C$200,2)/1000000,IF(VLOOKUP(GAS!N21,'GAS ASCII'!$B$2:$C$200,2)&lt;=0,"……………….","*"))</f>
        <v>69.53587894</v>
      </c>
      <c r="I21" s="21"/>
      <c r="J21" s="415" t="str">
        <f>IF(VLOOKUP(GAS!N21,'GAS ASCII'!$B$2:$D$200,3)&gt;=500000,VLOOKUP(GAS!N21,'GAS ASCII'!$B$2:$D$200,3)/-1000000,IF(VLOOKUP(GAS!N21,'GAS ASCII'!$B$2:$D$200,3)&lt;=0,"……………….","*"))</f>
        <v>……………….</v>
      </c>
      <c r="K21" s="3"/>
      <c r="L21" s="415">
        <f>IF(VLOOKUP(GAS!N21,'GAS ASCII'!$B$2:$E$200,4)&gt;=500000,VLOOKUP(GAS!N21,'GAS ASCII'!$B$2:$E$200,4)/1000000,IF(VLOOKUP(GAS!N21,'GAS ASCII'!$B$2:$E$200,4)&lt;=0,"……………….","*"))</f>
        <v>69.53587894</v>
      </c>
      <c r="M21" s="21"/>
      <c r="N21" t="s">
        <v>39</v>
      </c>
      <c r="O21" s="288"/>
    </row>
    <row r="22" spans="3:15" ht="15.75" customHeight="1">
      <c r="C22" s="9" t="s">
        <v>598</v>
      </c>
      <c r="H22" s="415" t="str">
        <f>IF(VLOOKUP(GAS!N22,'GAS ASCII'!$B$2:$C$200,2)&gt;=500000,VLOOKUP(GAS!N22,'GAS ASCII'!$B$2:$C$200,2)/1000000,IF(VLOOKUP(GAS!N22,'GAS ASCII'!$B$2:$C$200,2)&lt;=0,"……………….","*"))</f>
        <v>*</v>
      </c>
      <c r="I22" s="21"/>
      <c r="J22" s="415" t="str">
        <f>IF(VLOOKUP(GAS!N22,'GAS ASCII'!$B$2:$D$200,3)&gt;=500000,VLOOKUP(GAS!N22,'GAS ASCII'!$B$2:$D$200,3)/-1000000,IF(VLOOKUP(GAS!N22,'GAS ASCII'!$B$2:$D$200,3)&lt;=0,"……………….","*"))</f>
        <v>……………….</v>
      </c>
      <c r="K22" s="3"/>
      <c r="L22" s="415" t="str">
        <f>IF(VLOOKUP(GAS!N22,'GAS ASCII'!$B$2:$E$200,4)&gt;=500000,VLOOKUP(GAS!N22,'GAS ASCII'!$B$2:$E$200,4)/1000000,IF(VLOOKUP(GAS!N22,'GAS ASCII'!$B$2:$E$200,4)&lt;=0,"……………….","*"))</f>
        <v>*</v>
      </c>
      <c r="M22" s="21"/>
      <c r="N22" t="s">
        <v>141</v>
      </c>
      <c r="O22" s="288"/>
    </row>
    <row r="23" spans="3:15" ht="15.75" customHeight="1">
      <c r="C23" s="9"/>
      <c r="H23" s="415"/>
      <c r="I23" s="21"/>
      <c r="J23" s="415"/>
      <c r="K23" s="3"/>
      <c r="L23" s="415"/>
      <c r="M23" s="21"/>
      <c r="O23" s="288"/>
    </row>
    <row r="24" spans="3:15" ht="15.75" customHeight="1">
      <c r="C24" s="9" t="s">
        <v>595</v>
      </c>
      <c r="H24" s="415">
        <f>IF(VLOOKUP(GAS!N24,'GAS ASCII'!$B$2:$C$200,2)&gt;=500000,VLOOKUP(GAS!N24,'GAS ASCII'!$B$2:$C$200,2)/1000000,IF(VLOOKUP(GAS!N24,'GAS ASCII'!$B$2:$C$200,2)&lt;=0,"……………….","*"))</f>
        <v>34.867</v>
      </c>
      <c r="I24" s="21"/>
      <c r="J24" s="415" t="str">
        <f>IF(VLOOKUP(GAS!N24,'GAS ASCII'!$B$2:$D$200,3)&gt;=500000,VLOOKUP(GAS!N24,'GAS ASCII'!$B$2:$D$200,3)/-1000000,IF(VLOOKUP(GAS!N24,'GAS ASCII'!$B$2:$D$200,3)&lt;=0,"……………….","*"))</f>
        <v>……………….</v>
      </c>
      <c r="K24" s="3"/>
      <c r="L24" s="415">
        <f>IF(VLOOKUP(GAS!N24,'GAS ASCII'!$B$2:$E$200,4)&gt;=500000,VLOOKUP(GAS!N24,'GAS ASCII'!$B$2:$E$200,4)/1000000,IF(VLOOKUP(GAS!N24,'GAS ASCII'!$B$2:$E$200,4)&lt;=0,"……………….","*"))</f>
        <v>34.867</v>
      </c>
      <c r="M24" s="21"/>
      <c r="N24" t="s">
        <v>41</v>
      </c>
      <c r="O24" s="288"/>
    </row>
    <row r="25" spans="3:15" ht="15.75" customHeight="1">
      <c r="C25" s="132"/>
      <c r="H25" s="415"/>
      <c r="I25" s="21"/>
      <c r="J25" s="415"/>
      <c r="K25" s="27"/>
      <c r="L25" s="415"/>
      <c r="M25" s="21"/>
      <c r="O25" s="288"/>
    </row>
    <row r="26" spans="3:15" ht="15.75" customHeight="1">
      <c r="C26" s="9" t="s">
        <v>1015</v>
      </c>
      <c r="H26" s="415">
        <f>IF(VLOOKUP(GAS!N26,'GAS ASCII'!$B$2:$C$200,2)&gt;=500000,VLOOKUP(GAS!N26,'GAS ASCII'!$B$2:$C$200,2)/1000000,IF(VLOOKUP(GAS!N26,'GAS ASCII'!$B$2:$C$200,2)&lt;=0,"……………….","*"))</f>
        <v>25.77</v>
      </c>
      <c r="I26" s="21"/>
      <c r="J26" s="415">
        <f>IF(VLOOKUP(GAS!N26,'GAS ASCII'!$B$2:$D$200,3)&gt;=500000,VLOOKUP(GAS!N26,'GAS ASCII'!$B$2:$D$200,3)/-1000000,IF(VLOOKUP(GAS!N26,'GAS ASCII'!$B$2:$D$200,3)&lt;=0,"……………….","*"))</f>
        <v>-1.828</v>
      </c>
      <c r="K26" s="3"/>
      <c r="L26" s="415">
        <f>IF(VLOOKUP(GAS!N26,'GAS ASCII'!$B$2:$E$200,4)&gt;=500000,VLOOKUP(GAS!N26,'GAS ASCII'!$B$2:$E$200,4)/1000000,IF(VLOOKUP(GAS!N26,'GAS ASCII'!$B$2:$E$200,4)&lt;=0,"……………….","*"))</f>
        <v>23.942</v>
      </c>
      <c r="M26" s="21"/>
      <c r="N26" t="s">
        <v>43</v>
      </c>
      <c r="O26" s="288"/>
    </row>
    <row r="27" spans="3:15" ht="15.75" customHeight="1">
      <c r="C27" s="132"/>
      <c r="H27" s="415"/>
      <c r="I27" s="21"/>
      <c r="J27" s="415"/>
      <c r="K27" s="27"/>
      <c r="L27" s="415"/>
      <c r="M27" s="21"/>
      <c r="O27" s="288"/>
    </row>
    <row r="28" spans="3:15" ht="15.75" customHeight="1">
      <c r="C28" s="9" t="s">
        <v>11</v>
      </c>
      <c r="H28" s="415"/>
      <c r="I28" s="21"/>
      <c r="J28" s="415"/>
      <c r="K28" s="21"/>
      <c r="L28" s="415"/>
      <c r="M28" s="21"/>
      <c r="O28" s="288"/>
    </row>
    <row r="29" spans="3:15" ht="15.75" customHeight="1">
      <c r="C29" s="9" t="s">
        <v>596</v>
      </c>
      <c r="H29" s="415">
        <f>IF(VLOOKUP(GAS!N29,'GAS ASCII'!$B$2:$C$200,2)&gt;=500000,VLOOKUP(GAS!N29,'GAS ASCII'!$B$2:$C$200,2)/1000000,IF(VLOOKUP(GAS!N29,'GAS ASCII'!$B$2:$C$200,2)&lt;=0,"……………….","*"))</f>
        <v>252.198</v>
      </c>
      <c r="I29" s="21"/>
      <c r="J29" s="415" t="str">
        <f>IF(VLOOKUP(GAS!N29,'GAS ASCII'!$B$2:$D$200,3)&gt;=500000,VLOOKUP(GAS!N29,'GAS ASCII'!$B$2:$D$200,3)/-1000000,IF(VLOOKUP(GAS!N29,'GAS ASCII'!$B$2:$D$200,3)&lt;=0,"……………….","*"))</f>
        <v>……………….</v>
      </c>
      <c r="K29" s="27"/>
      <c r="L29" s="415">
        <f>IF(VLOOKUP(GAS!N29,'GAS ASCII'!$B$2:$E$200,4)&gt;=500000,VLOOKUP(GAS!N29,'GAS ASCII'!$B$2:$E$200,4)/1000000,IF(VLOOKUP(GAS!N29,'GAS ASCII'!$B$2:$E$200,4)&lt;=0,"……………….","*"))</f>
        <v>252.198</v>
      </c>
      <c r="M29" s="21"/>
      <c r="N29" t="s">
        <v>45</v>
      </c>
      <c r="O29" s="288"/>
    </row>
    <row r="30" spans="3:15" ht="15.75" customHeight="1">
      <c r="C30" s="9"/>
      <c r="H30" s="415"/>
      <c r="I30" s="21"/>
      <c r="J30" s="415"/>
      <c r="K30" s="27"/>
      <c r="L30" s="415"/>
      <c r="M30" s="21"/>
      <c r="O30" s="288"/>
    </row>
    <row r="31" spans="3:15" ht="15.75" customHeight="1">
      <c r="C31" s="9" t="s">
        <v>996</v>
      </c>
      <c r="H31" s="415">
        <f>IF(VLOOKUP(GAS!N31,'GAS ASCII'!$B$2:$C$200,2)&gt;=500000,VLOOKUP(GAS!N31,'GAS ASCII'!$B$2:$C$200,2)/1000000,IF(VLOOKUP(GAS!N31,'GAS ASCII'!$B$2:$C$200,2)&lt;=0,"……………….","*"))</f>
        <v>526.776</v>
      </c>
      <c r="I31" s="21"/>
      <c r="J31" s="415" t="str">
        <f>IF(VLOOKUP(GAS!N31,'GAS ASCII'!$B$2:$D$200,3)&gt;=500000,VLOOKUP(GAS!N31,'GAS ASCII'!$B$2:$D$200,3)/-1000000,IF(VLOOKUP(GAS!N31,'GAS ASCII'!$B$2:$D$200,3)&lt;=0,"……………….","*"))</f>
        <v>……………….</v>
      </c>
      <c r="K31" s="27"/>
      <c r="L31" s="415">
        <f>IF(VLOOKUP(GAS!N31,'GAS ASCII'!$B$2:$E$200,4)&gt;=500000,VLOOKUP(GAS!N31,'GAS ASCII'!$B$2:$E$200,4)/1000000,IF(VLOOKUP(GAS!N31,'GAS ASCII'!$B$2:$E$200,4)&lt;=0,"……………….","*"))</f>
        <v>526.776</v>
      </c>
      <c r="M31" s="21"/>
      <c r="N31" t="s">
        <v>47</v>
      </c>
      <c r="O31" s="288"/>
    </row>
    <row r="32" spans="3:15" ht="15.75" customHeight="1">
      <c r="C32" s="9" t="s">
        <v>597</v>
      </c>
      <c r="H32" s="415">
        <f>IF(VLOOKUP(GAS!N32,'GAS ASCII'!$B$2:$C$200,2)&gt;=500000,VLOOKUP(GAS!N32,'GAS ASCII'!$B$2:$C$200,2)/1000000,IF(VLOOKUP(GAS!N32,'GAS ASCII'!$B$2:$C$200,2)&lt;=0,"……………….","*"))</f>
        <v>1</v>
      </c>
      <c r="I32" s="21"/>
      <c r="J32" s="415" t="str">
        <f>IF(VLOOKUP(GAS!N32,'GAS ASCII'!$B$2:$D$200,3)&gt;=500000,VLOOKUP(GAS!N32,'GAS ASCII'!$B$2:$D$200,3)/-1000000,IF(VLOOKUP(GAS!N32,'GAS ASCII'!$B$2:$D$200,3)&lt;=0,"……………….","*"))</f>
        <v>……………….</v>
      </c>
      <c r="K32" s="27"/>
      <c r="L32" s="415">
        <f>IF(VLOOKUP(GAS!N32,'GAS ASCII'!$B$2:$E$200,4)&gt;=500000,VLOOKUP(GAS!N32,'GAS ASCII'!$B$2:$E$200,4)/1000000,IF(VLOOKUP(GAS!N32,'GAS ASCII'!$B$2:$E$200,4)&lt;=0,"……………….","*"))</f>
        <v>1</v>
      </c>
      <c r="M32" s="21"/>
      <c r="N32" t="s">
        <v>49</v>
      </c>
      <c r="O32" s="288"/>
    </row>
    <row r="33" spans="3:15" ht="15.75" customHeight="1">
      <c r="C33" s="9" t="s">
        <v>155</v>
      </c>
      <c r="H33" s="415">
        <f>IF(VLOOKUP(GAS!N33,'GAS ASCII'!$B$2:$C$200,2)&gt;=500000,VLOOKUP(GAS!N33,'GAS ASCII'!$B$2:$C$200,2)/1000000,IF(VLOOKUP(GAS!N33,'GAS ASCII'!$B$2:$C$200,2)&lt;=0,"……………….","*"))</f>
        <v>897.344</v>
      </c>
      <c r="I33" s="21"/>
      <c r="J33" s="415" t="str">
        <f>IF(VLOOKUP(GAS!N33,'GAS ASCII'!$B$2:$D$200,3)&gt;=500000,VLOOKUP(GAS!N33,'GAS ASCII'!$B$2:$D$200,3)/-1000000,IF(VLOOKUP(GAS!N33,'GAS ASCII'!$B$2:$D$200,3)&lt;=0,"……………….","*"))</f>
        <v>……………….</v>
      </c>
      <c r="K33" s="27"/>
      <c r="L33" s="415">
        <f>IF(VLOOKUP(GAS!N33,'GAS ASCII'!$B$2:$E$200,4)&gt;=500000,VLOOKUP(GAS!N33,'GAS ASCII'!$B$2:$E$200,4)/1000000,IF(VLOOKUP(GAS!N33,'GAS ASCII'!$B$2:$E$200,4)&lt;=0,"……………….","*"))</f>
        <v>897.344</v>
      </c>
      <c r="M33" s="21"/>
      <c r="N33" t="s">
        <v>51</v>
      </c>
      <c r="O33" s="288"/>
    </row>
    <row r="34" spans="3:15" ht="15.75" customHeight="1">
      <c r="C34" s="9"/>
      <c r="H34" s="415"/>
      <c r="I34" s="21"/>
      <c r="J34" s="415"/>
      <c r="K34" s="27"/>
      <c r="L34" s="415"/>
      <c r="M34" s="21"/>
      <c r="O34" s="288"/>
    </row>
    <row r="35" spans="3:15" ht="15.75" customHeight="1">
      <c r="C35" s="9" t="s">
        <v>1188</v>
      </c>
      <c r="H35" s="415">
        <f>IF(VLOOKUP(GAS!N35,'GAS ASCII'!$B$2:$C$200,2)&gt;=500000,VLOOKUP(GAS!N35,'GAS ASCII'!$B$2:$C$200,2)/1000000,IF(VLOOKUP(GAS!N35,'GAS ASCII'!$B$2:$C$200,2)&lt;=0,"……………….","*"))</f>
        <v>50685.416</v>
      </c>
      <c r="I35" s="21"/>
      <c r="J35" s="415" t="str">
        <f>IF(VLOOKUP(GAS!N35,'GAS ASCII'!$B$2:$D$200,3)&gt;=500000,VLOOKUP(GAS!N35,'GAS ASCII'!$B$2:$D$200,3)/-1000000,IF(VLOOKUP(GAS!N35,'GAS ASCII'!$B$2:$D$200,3)&lt;=0,"……………….","*"))</f>
        <v>……………….</v>
      </c>
      <c r="K35" s="27"/>
      <c r="L35" s="415">
        <f>IF(VLOOKUP(GAS!N35,'GAS ASCII'!$B$2:$E$200,4)&gt;=500000,VLOOKUP(GAS!N35,'GAS ASCII'!$B$2:$E$200,4)/1000000,IF(VLOOKUP(GAS!N35,'GAS ASCII'!$B$2:$E$200,4)&lt;=0,"……………….","*"))</f>
        <v>50685.416</v>
      </c>
      <c r="M35" s="21"/>
      <c r="N35" t="s">
        <v>53</v>
      </c>
      <c r="O35" s="288"/>
    </row>
    <row r="36" spans="3:15" ht="15.75" customHeight="1">
      <c r="C36" s="9" t="s">
        <v>160</v>
      </c>
      <c r="H36" s="415">
        <f>IF(VLOOKUP(GAS!N36,'GAS ASCII'!$B$2:$C$200,2)&gt;=500000,VLOOKUP(GAS!N36,'GAS ASCII'!$B$2:$C$200,2)/1000000,IF(VLOOKUP(GAS!N36,'GAS ASCII'!$B$2:$C$200,2)&lt;=0,"……………….","*"))</f>
        <v>22.48545279</v>
      </c>
      <c r="I36" s="21"/>
      <c r="J36" s="415" t="str">
        <f>IF(VLOOKUP(GAS!N36,'GAS ASCII'!$B$2:$D$200,3)&gt;=500000,VLOOKUP(GAS!N36,'GAS ASCII'!$B$2:$D$200,3)/-1000000,IF(VLOOKUP(GAS!N36,'GAS ASCII'!$B$2:$D$200,3)&lt;=0,"……………….","*"))</f>
        <v>……………….</v>
      </c>
      <c r="K36" s="27"/>
      <c r="L36" s="415">
        <f>IF(VLOOKUP(GAS!N36,'GAS ASCII'!$B$2:$E$200,4)&gt;=500000,VLOOKUP(GAS!N36,'GAS ASCII'!$B$2:$E$200,4)/1000000,IF(VLOOKUP(GAS!N36,'GAS ASCII'!$B$2:$E$200,4)&lt;=0,"……………….","*"))</f>
        <v>22.48545279</v>
      </c>
      <c r="M36" s="21"/>
      <c r="N36" t="s">
        <v>55</v>
      </c>
      <c r="O36" s="288"/>
    </row>
    <row r="37" spans="3:15" ht="15.75" customHeight="1">
      <c r="C37" s="9"/>
      <c r="H37" s="415"/>
      <c r="I37" s="21"/>
      <c r="J37" s="415"/>
      <c r="K37" s="27"/>
      <c r="L37" s="415"/>
      <c r="M37" s="21"/>
      <c r="O37" s="288"/>
    </row>
    <row r="38" spans="3:15" ht="15.75" customHeight="1">
      <c r="C38" s="9" t="s">
        <v>164</v>
      </c>
      <c r="H38" s="415">
        <f>IF(VLOOKUP(GAS!N38,'GAS ASCII'!$B$2:$C$200,2)&gt;=500000,VLOOKUP(GAS!N38,'GAS ASCII'!$B$2:$C$200,2)/1000000,IF(VLOOKUP(GAS!N38,'GAS ASCII'!$B$2:$C$200,2)&lt;=0,"……………….","*"))</f>
        <v>4.008</v>
      </c>
      <c r="I38" s="21"/>
      <c r="J38" s="415" t="str">
        <f>IF(VLOOKUP(GAS!N38,'GAS ASCII'!$B$2:$D$200,3)&gt;=500000,VLOOKUP(GAS!N38,'GAS ASCII'!$B$2:$D$200,3)/-1000000,IF(VLOOKUP(GAS!N38,'GAS ASCII'!$B$2:$D$200,3)&lt;=0,"……………….","*"))</f>
        <v>……………….</v>
      </c>
      <c r="K38" s="27"/>
      <c r="L38" s="415">
        <f>IF(VLOOKUP(GAS!N38,'GAS ASCII'!$B$2:$E$200,4)&gt;=500000,VLOOKUP(GAS!N38,'GAS ASCII'!$B$2:$E$200,4)/1000000,IF(VLOOKUP(GAS!N38,'GAS ASCII'!$B$2:$E$200,4)&lt;=0,"……………….","*"))</f>
        <v>4.008</v>
      </c>
      <c r="M38" s="21"/>
      <c r="N38" t="s">
        <v>57</v>
      </c>
      <c r="O38" s="288"/>
    </row>
    <row r="39" spans="3:15" ht="15.75" customHeight="1">
      <c r="C39" s="9"/>
      <c r="H39" s="415"/>
      <c r="I39" s="21"/>
      <c r="J39" s="415"/>
      <c r="K39" s="27"/>
      <c r="L39" s="415"/>
      <c r="M39" s="21"/>
      <c r="O39" s="288"/>
    </row>
    <row r="40" spans="3:15" ht="15.75" customHeight="1">
      <c r="C40" s="9" t="s">
        <v>168</v>
      </c>
      <c r="H40" s="415">
        <f>IF(VLOOKUP(GAS!N40,'GAS ASCII'!$B$2:$C$200,2)&gt;=500000,VLOOKUP(GAS!N40,'GAS ASCII'!$B$2:$C$200,2)/1000000,IF(VLOOKUP(GAS!N40,'GAS ASCII'!$B$2:$C$200,2)&lt;=0,"……………….","*"))</f>
        <v>1.592</v>
      </c>
      <c r="I40" s="21"/>
      <c r="J40" s="415" t="str">
        <f>IF(VLOOKUP(GAS!N40,'GAS ASCII'!$B$2:$D$200,3)&gt;=500000,VLOOKUP(GAS!N40,'GAS ASCII'!$B$2:$D$200,3)/-1000000,IF(VLOOKUP(GAS!N40,'GAS ASCII'!$B$2:$D$200,3)&lt;=0,"……………….","*"))</f>
        <v>……………….</v>
      </c>
      <c r="K40" s="27"/>
      <c r="L40" s="415">
        <f>IF(VLOOKUP(GAS!N40,'GAS ASCII'!$B$2:$E$200,4)&gt;=500000,VLOOKUP(GAS!N40,'GAS ASCII'!$B$2:$E$200,4)/1000000,IF(VLOOKUP(GAS!N40,'GAS ASCII'!$B$2:$E$200,4)&lt;=0,"……………….","*"))</f>
        <v>1.592</v>
      </c>
      <c r="M40" s="21"/>
      <c r="N40" t="s">
        <v>59</v>
      </c>
      <c r="O40" s="288"/>
    </row>
    <row r="41" spans="2:15" s="78" customFormat="1" ht="15.75" customHeight="1">
      <c r="B41" s="78" t="s">
        <v>688</v>
      </c>
      <c r="C41" s="398"/>
      <c r="H41" s="377">
        <f>SUM(H10:H40)+0.475+0.145</f>
        <v>53087.197148889994</v>
      </c>
      <c r="I41" s="378"/>
      <c r="J41" s="377">
        <f>SUM(J8:J40)</f>
        <v>-31.695</v>
      </c>
      <c r="K41" s="379"/>
      <c r="L41" s="377">
        <f>SUM(L8:L40)+0.145+0.475</f>
        <v>53055.502148889995</v>
      </c>
      <c r="M41" s="378"/>
      <c r="O41" s="399"/>
    </row>
    <row r="42" spans="2:13" ht="15.75" customHeight="1">
      <c r="B42" s="78" t="s">
        <v>151</v>
      </c>
      <c r="H42" s="409">
        <v>32.919</v>
      </c>
      <c r="I42" s="410"/>
      <c r="J42" s="47" t="s">
        <v>928</v>
      </c>
      <c r="K42" s="27"/>
      <c r="L42" s="409">
        <f>+H42-J42</f>
        <v>32.919</v>
      </c>
      <c r="M42" s="410"/>
    </row>
    <row r="43" spans="2:13" ht="15.75" customHeight="1" thickBot="1">
      <c r="B43" s="78" t="s">
        <v>152</v>
      </c>
      <c r="H43" s="426">
        <f>+H41+H42</f>
        <v>53120.116148889996</v>
      </c>
      <c r="I43" s="427"/>
      <c r="J43" s="426">
        <f>+J41+J42</f>
        <v>-31.695</v>
      </c>
      <c r="K43" s="427"/>
      <c r="L43" s="426">
        <f>+L41+L42</f>
        <v>53088.42114889</v>
      </c>
      <c r="M43" s="427"/>
    </row>
    <row r="44" spans="3:15" ht="15.75" customHeight="1" thickTop="1">
      <c r="C44" s="132"/>
      <c r="H44" s="51"/>
      <c r="I44" s="21"/>
      <c r="J44" s="47"/>
      <c r="K44" s="27"/>
      <c r="L44" s="51"/>
      <c r="M44" s="21"/>
      <c r="O44" s="288"/>
    </row>
    <row r="45" spans="2:15" ht="15.75" customHeight="1">
      <c r="B45" t="s">
        <v>259</v>
      </c>
      <c r="C45" s="132"/>
      <c r="H45" s="51"/>
      <c r="I45" s="21"/>
      <c r="J45" s="47"/>
      <c r="K45" s="27"/>
      <c r="L45" s="51"/>
      <c r="M45" s="21"/>
      <c r="O45" s="288"/>
    </row>
    <row r="46" spans="3:15" ht="15.75" customHeight="1">
      <c r="C46" s="9" t="s">
        <v>807</v>
      </c>
      <c r="H46" s="40"/>
      <c r="I46" s="21"/>
      <c r="J46" s="40"/>
      <c r="K46" s="21"/>
      <c r="L46" s="40"/>
      <c r="M46" s="21"/>
      <c r="O46" s="288"/>
    </row>
    <row r="47" spans="3:15" ht="15.75" customHeight="1">
      <c r="C47" s="9" t="s">
        <v>169</v>
      </c>
      <c r="H47" s="415">
        <f>IF(VLOOKUP(GAS!N47,'GAS ASCII'!$B$2:$C$200,2)&gt;=500000,VLOOKUP(GAS!N47,'GAS ASCII'!$B$2:$C$200,2)/1000000,IF(VLOOKUP(GAS!N47,'GAS ASCII'!$B$2:$C$200,2)&lt;=0,"……………….","*"))</f>
        <v>1922.13054226</v>
      </c>
      <c r="I47" s="21"/>
      <c r="J47" s="415" t="str">
        <f>IF(VLOOKUP(GAS!N47,'GAS ASCII'!$B$2:$D$200,3)&gt;=500000,VLOOKUP(GAS!N47,'GAS ASCII'!$B$2:$D$200,3)/-1000000,IF(VLOOKUP(GAS!N47,'GAS ASCII'!$B$2:$D$200,3)&lt;=0,"……………….","*"))</f>
        <v>……………….</v>
      </c>
      <c r="K47" s="27"/>
      <c r="L47" s="415">
        <f>IF(VLOOKUP(GAS!N47,'GAS ASCII'!$B$2:$E$200,4)&gt;=500000,VLOOKUP(GAS!N47,'GAS ASCII'!$B$2:$E$200,4)/1000000,IF(VLOOKUP(GAS!N47,'GAS ASCII'!$B$2:$E$200,4)&lt;=0,"……………….","*"))</f>
        <v>1922.13054226</v>
      </c>
      <c r="M47" s="41"/>
      <c r="N47" t="s">
        <v>62</v>
      </c>
      <c r="O47" s="288"/>
    </row>
    <row r="48" spans="3:15" ht="15.75" customHeight="1">
      <c r="C48" s="9" t="s">
        <v>810</v>
      </c>
      <c r="H48" s="415">
        <f>IF(VLOOKUP(GAS!N48,'GAS ASCII'!$B$2:$C$200,2)&gt;=500000,VLOOKUP(GAS!N48,'GAS ASCII'!$B$2:$C$200,2)/1000000,IF(VLOOKUP(GAS!N48,'GAS ASCII'!$B$2:$C$200,2)&lt;=0,"……………….","*"))</f>
        <v>15861.274</v>
      </c>
      <c r="I48" s="21" t="s">
        <v>13</v>
      </c>
      <c r="J48" s="415">
        <f>IF(VLOOKUP(GAS!N48,'GAS ASCII'!$B$2:$D$200,3)&gt;=500000,VLOOKUP(GAS!N48,'GAS ASCII'!$B$2:$D$200,3)/-1000000,IF(VLOOKUP(GAS!N48,'GAS ASCII'!$B$2:$D$200,3)&lt;=0,"……………….","*"))</f>
        <v>-2923.52</v>
      </c>
      <c r="K48" s="188"/>
      <c r="L48" s="415">
        <f>IF(VLOOKUP(GAS!N48,'GAS ASCII'!$B$2:$E$200,4)&gt;=500000,VLOOKUP(GAS!N48,'GAS ASCII'!$B$2:$E$200,4)/1000000,IF(VLOOKUP(GAS!N48,'GAS ASCII'!$B$2:$E$200,4)&lt;=0,"……………….","*"))</f>
        <v>12937.754</v>
      </c>
      <c r="M48" s="21"/>
      <c r="N48" t="s">
        <v>64</v>
      </c>
      <c r="O48" s="288"/>
    </row>
    <row r="49" spans="3:15" ht="15.75" customHeight="1">
      <c r="C49" s="9" t="s">
        <v>811</v>
      </c>
      <c r="H49" s="415">
        <f>IF(VLOOKUP(GAS!N49,'GAS ASCII'!$B$2:$C$200,2)&gt;=500000,VLOOKUP(GAS!N49,'GAS ASCII'!$B$2:$C$200,2)/1000000,IF(VLOOKUP(GAS!N49,'GAS ASCII'!$B$2:$C$200,2)&lt;=0,"……………….","*"))</f>
        <v>1.077</v>
      </c>
      <c r="I49" s="21"/>
      <c r="J49" s="415" t="str">
        <f>IF(VLOOKUP(GAS!N49,'GAS ASCII'!$B$2:$D$200,3)&gt;=500000,VLOOKUP(GAS!N49,'GAS ASCII'!$B$2:$D$200,3)/-1000000,IF(VLOOKUP(GAS!N49,'GAS ASCII'!$B$2:$D$200,3)&lt;=0,"……………….","*"))</f>
        <v>……………….</v>
      </c>
      <c r="K49" s="27"/>
      <c r="L49" s="415">
        <f>IF(VLOOKUP(GAS!N49,'GAS ASCII'!$B$2:$E$200,4)&gt;=500000,VLOOKUP(GAS!N49,'GAS ASCII'!$B$2:$E$200,4)/1000000,IF(VLOOKUP(GAS!N49,'GAS ASCII'!$B$2:$E$200,4)&lt;=0,"……………….","*"))</f>
        <v>1.077</v>
      </c>
      <c r="M49" s="21"/>
      <c r="N49" t="s">
        <v>66</v>
      </c>
      <c r="O49" s="288"/>
    </row>
    <row r="50" spans="3:15" ht="15.75" customHeight="1">
      <c r="C50" s="9" t="s">
        <v>353</v>
      </c>
      <c r="H50" s="415">
        <f>IF(VLOOKUP(GAS!N50,'GAS ASCII'!$B$2:$C$200,2)&gt;=500000,VLOOKUP(GAS!N50,'GAS ASCII'!$B$2:$C$200,2)/1000000,IF(VLOOKUP(GAS!N50,'GAS ASCII'!$B$2:$C$200,2)&lt;=0,"……………….","*"))</f>
        <v>1387.825</v>
      </c>
      <c r="I50" s="21"/>
      <c r="J50" s="415" t="str">
        <f>IF(VLOOKUP(GAS!N50,'GAS ASCII'!$B$2:$D$200,3)&gt;=500000,VLOOKUP(GAS!N50,'GAS ASCII'!$B$2:$D$200,3)/1000000,IF(VLOOKUP(GAS!N50,'GAS ASCII'!$B$2:$D$200,3)&lt;=0,"……………….","*"))</f>
        <v>……………….</v>
      </c>
      <c r="K50" s="27"/>
      <c r="L50" s="415">
        <f>IF(VLOOKUP(GAS!N50,'GAS ASCII'!$B$2:$E$200,4)&gt;=500000,VLOOKUP(GAS!N50,'GAS ASCII'!$B$2:$E$200,4)/1000000,IF(VLOOKUP(GAS!N50,'GAS ASCII'!$B$2:$E$200,4)&lt;=0,"……………….","*"))</f>
        <v>1387.825</v>
      </c>
      <c r="M50" s="21"/>
      <c r="N50" t="s">
        <v>68</v>
      </c>
      <c r="O50" s="288"/>
    </row>
    <row r="51" spans="3:15" ht="15.75" customHeight="1">
      <c r="C51" s="9" t="s">
        <v>646</v>
      </c>
      <c r="H51" s="415">
        <f>IF(VLOOKUP(GAS!N51,'GAS ASCII'!$B$2:$C$200,2)&gt;=500000,VLOOKUP(GAS!N51,'GAS ASCII'!$B$2:$C$200,2)/1000000,IF(VLOOKUP(GAS!N51,'GAS ASCII'!$B$2:$C$200,2)&lt;=0,"……………….","*"))</f>
        <v>86.45860281</v>
      </c>
      <c r="I51" s="21"/>
      <c r="J51" s="415" t="str">
        <f>IF(VLOOKUP(GAS!N51,'GAS ASCII'!$B$2:$D$200,3)&gt;=500000,VLOOKUP(GAS!N51,'GAS ASCII'!$B$2:$D$200,3)/-1000000,IF(VLOOKUP(GAS!N51,'GAS ASCII'!$B$2:$D$200,3)&lt;=0,"……………….","*"))</f>
        <v>……………….</v>
      </c>
      <c r="K51" s="27"/>
      <c r="L51" s="415">
        <f>IF(VLOOKUP(GAS!N51,'GAS ASCII'!$B$2:$E$200,4)&gt;=500000,VLOOKUP(GAS!N51,'GAS ASCII'!$B$2:$E$200,4)/1000000,IF(VLOOKUP(GAS!N51,'GAS ASCII'!$B$2:$E$200,4)&lt;=0,"……………….","*"))</f>
        <v>86.45860281</v>
      </c>
      <c r="M51" s="21"/>
      <c r="N51" t="s">
        <v>70</v>
      </c>
      <c r="O51" s="288"/>
    </row>
    <row r="52" spans="3:15" ht="15.75" customHeight="1">
      <c r="C52" s="9" t="s">
        <v>730</v>
      </c>
      <c r="H52" s="415">
        <f>IF(VLOOKUP(GAS!N52,'GAS ASCII'!$B$2:$C$200,2)&gt;=500000,VLOOKUP(GAS!N52,'GAS ASCII'!$B$2:$C$200,2)/1000000,IF(VLOOKUP(GAS!N52,'GAS ASCII'!$B$2:$C$200,2)&lt;=0,"……………….","*"))</f>
        <v>342.938</v>
      </c>
      <c r="I52" s="21"/>
      <c r="J52" s="415">
        <f>IF(VLOOKUP(GAS!N52,'GAS ASCII'!$B$2:$D$200,3)&gt;=500000,VLOOKUP(GAS!N52,'GAS ASCII'!$B$2:$D$200,3)/-1000000,IF(VLOOKUP(GAS!N52,'GAS ASCII'!$B$2:$D$200,3)&lt;=0,"……………….","*"))</f>
        <v>-10</v>
      </c>
      <c r="K52" s="27"/>
      <c r="L52" s="415">
        <f>IF(VLOOKUP(GAS!N52,'GAS ASCII'!$B$2:$E$200,4)&gt;=500000,VLOOKUP(GAS!N52,'GAS ASCII'!$B$2:$E$200,4)/1000000,IF(VLOOKUP(GAS!N52,'GAS ASCII'!$B$2:$E$200,4)&lt;=0,"……………….","*"))</f>
        <v>332.938</v>
      </c>
      <c r="M52" s="21"/>
      <c r="N52" t="s">
        <v>72</v>
      </c>
      <c r="O52" s="288"/>
    </row>
    <row r="53" spans="3:15" ht="15.75" customHeight="1">
      <c r="C53" s="9" t="s">
        <v>110</v>
      </c>
      <c r="H53" s="415">
        <f>IF(VLOOKUP(GAS!N53,'GAS ASCII'!$B$2:$C$200,2)&gt;=500000,VLOOKUP(GAS!N53,'GAS ASCII'!$B$2:$C$200,2)/1000000,IF(VLOOKUP(GAS!N53,'GAS ASCII'!$B$2:$C$200,2)&lt;=0,"……………….","*"))</f>
        <v>578.867</v>
      </c>
      <c r="I53" s="21"/>
      <c r="J53" s="415" t="str">
        <f>IF(VLOOKUP(GAS!N53,'GAS ASCII'!$B$2:$D$200,3)&gt;=500000,VLOOKUP(GAS!N53,'GAS ASCII'!$B$2:$D$200,3)/-1000000,IF(VLOOKUP(GAS!N53,'GAS ASCII'!$B$2:$D$200,3)&lt;=0,"……………….","*"))</f>
        <v>……………….</v>
      </c>
      <c r="K53" s="27"/>
      <c r="L53" s="415">
        <f>IF(VLOOKUP(GAS!N53,'GAS ASCII'!$B$2:$E$200,4)&gt;=500000,VLOOKUP(GAS!N53,'GAS ASCII'!$B$2:$E$200,4)/1000000,IF(VLOOKUP(GAS!N53,'GAS ASCII'!$B$2:$E$200,4)&lt;=0,"……………….","*"))</f>
        <v>578.867</v>
      </c>
      <c r="M53" s="21"/>
      <c r="N53" t="s">
        <v>74</v>
      </c>
      <c r="O53" s="288"/>
    </row>
    <row r="54" spans="3:15" ht="15.75" customHeight="1">
      <c r="C54" s="9" t="s">
        <v>970</v>
      </c>
      <c r="H54" s="415">
        <f>IF(VLOOKUP(GAS!N54,'GAS ASCII'!$B$2:$C$200,2)&gt;=500000,VLOOKUP(GAS!N54,'GAS ASCII'!$B$2:$C$200,2)/1000000,IF(VLOOKUP(GAS!N54,'GAS ASCII'!$B$2:$C$200,2)&lt;=0,"……………….","*"))</f>
        <v>114.097</v>
      </c>
      <c r="I54" s="21"/>
      <c r="J54" s="415" t="str">
        <f>IF(VLOOKUP(GAS!N54,'GAS ASCII'!$B$2:$D$200,3)&gt;=500000,VLOOKUP(GAS!N54,'GAS ASCII'!$B$2:$D$200,3)/-1000000,IF(VLOOKUP(GAS!N54,'GAS ASCII'!$B$2:$D$200,3)&lt;=0,"……………….","*"))</f>
        <v>……………….</v>
      </c>
      <c r="K54" s="27"/>
      <c r="L54" s="415">
        <f>IF(VLOOKUP(GAS!N54,'GAS ASCII'!$B$2:$E$200,4)&gt;=500000,VLOOKUP(GAS!N54,'GAS ASCII'!$B$2:$E$200,4)/1000000,IF(VLOOKUP(GAS!N54,'GAS ASCII'!$B$2:$E$200,4)&lt;=0,"……………….","*"))</f>
        <v>114.097</v>
      </c>
      <c r="M54" s="21"/>
      <c r="N54" t="s">
        <v>76</v>
      </c>
      <c r="O54" s="288"/>
    </row>
    <row r="55" spans="8:15" ht="15.75" customHeight="1">
      <c r="H55" s="415"/>
      <c r="I55" s="21"/>
      <c r="J55" s="415"/>
      <c r="K55" s="21"/>
      <c r="L55" s="415"/>
      <c r="M55" s="21"/>
      <c r="O55" s="288"/>
    </row>
    <row r="56" spans="3:15" ht="15.75" customHeight="1">
      <c r="C56" s="9" t="s">
        <v>1100</v>
      </c>
      <c r="H56" s="415">
        <f>IF(VLOOKUP(GAS!N56,'GAS ASCII'!$B$2:$C$200,2)&gt;=500000,VLOOKUP(GAS!N56,'GAS ASCII'!$B$2:$C$200,2)/1000000,IF(VLOOKUP(GAS!N56,'GAS ASCII'!$B$2:$C$200,2)&lt;=0,"……………….","*"))</f>
        <v>32682.57955</v>
      </c>
      <c r="I56" s="21"/>
      <c r="J56" s="415">
        <f>IF(VLOOKUP(GAS!N56,'GAS ASCII'!$B$2:$D$200,3)&gt;=500000,VLOOKUP(GAS!N56,'GAS ASCII'!$B$2:$D$200,3)/-1000000,IF(VLOOKUP(GAS!N56,'GAS ASCII'!$B$2:$D$200,3)&lt;=0,"……………….","*"))</f>
        <v>-1518</v>
      </c>
      <c r="K56" s="27"/>
      <c r="L56" s="415">
        <f>IF(VLOOKUP(GAS!N56,'GAS ASCII'!$B$2:$E$200,4)&gt;=500000,VLOOKUP(GAS!N56,'GAS ASCII'!$B$2:$E$200,4)/1000000,IF(VLOOKUP(GAS!N56,'GAS ASCII'!$B$2:$E$200,4)&lt;=0,"……………….","*"))</f>
        <v>31164.57955</v>
      </c>
      <c r="M56" s="21"/>
      <c r="N56" t="s">
        <v>78</v>
      </c>
      <c r="O56" s="288"/>
    </row>
    <row r="57" spans="2:15" ht="15.75" customHeight="1">
      <c r="B57" s="164"/>
      <c r="C57" s="9" t="s">
        <v>1097</v>
      </c>
      <c r="D57" s="78"/>
      <c r="H57" s="415">
        <f>IF(VLOOKUP(GAS!N57,'GAS ASCII'!$B$2:$C$200,2)&gt;=500000,VLOOKUP(GAS!N57,'GAS ASCII'!$B$2:$C$200,2)/1000000,IF(VLOOKUP(GAS!N57,'GAS ASCII'!$B$2:$C$200,2)&lt;=0,"……………….","*"))</f>
        <v>0.734</v>
      </c>
      <c r="I57" s="21"/>
      <c r="J57" s="415" t="str">
        <f>IF(VLOOKUP(GAS!N57,'GAS ASCII'!$B$2:$D$200,3)&gt;=500000,VLOOKUP(GAS!N57,'GAS ASCII'!$B$2:$D$200,3)/-1000000,IF(VLOOKUP(GAS!N57,'GAS ASCII'!$B$2:$D$200,3)&lt;=0,"……………….","*"))</f>
        <v>……………….</v>
      </c>
      <c r="K57" s="27"/>
      <c r="L57" s="415">
        <f>IF(VLOOKUP(GAS!N57,'GAS ASCII'!$B$2:$E$200,4)&gt;=500000,VLOOKUP(GAS!N57,'GAS ASCII'!$B$2:$E$200,4)/1000000,IF(VLOOKUP(GAS!N57,'GAS ASCII'!$B$2:$E$200,4)&lt;=0,"……………….","*"))</f>
        <v>0.734</v>
      </c>
      <c r="M57" s="21"/>
      <c r="N57" t="s">
        <v>80</v>
      </c>
      <c r="O57" s="288"/>
    </row>
    <row r="58" spans="3:15" ht="15.75" customHeight="1">
      <c r="C58" s="9" t="s">
        <v>365</v>
      </c>
      <c r="H58" s="415">
        <f>IF(VLOOKUP(GAS!N58,'GAS ASCII'!$B$2:$C$200,2)&gt;=500000,VLOOKUP(GAS!N58,'GAS ASCII'!$B$2:$C$200,2)/1000000,IF(VLOOKUP(GAS!N58,'GAS ASCII'!$B$2:$C$200,2)&lt;=0,"……………….","*"))</f>
        <v>1.677</v>
      </c>
      <c r="I58" s="21"/>
      <c r="J58" s="415" t="str">
        <f>IF(VLOOKUP(GAS!N58,'GAS ASCII'!$B$2:$D$200,3)&gt;=500000,VLOOKUP(GAS!N58,'GAS ASCII'!$B$2:$D$200,3)/-1000000,IF(VLOOKUP(GAS!N58,'GAS ASCII'!$B$2:$D$200,3)&lt;=0,"……………….","*"))</f>
        <v>……………….</v>
      </c>
      <c r="K58" s="27"/>
      <c r="L58" s="415">
        <f>IF(VLOOKUP(GAS!N58,'GAS ASCII'!$B$2:$E$200,4)&gt;=500000,VLOOKUP(GAS!N58,'GAS ASCII'!$B$2:$E$200,4)/1000000,IF(VLOOKUP(GAS!N58,'GAS ASCII'!$B$2:$E$200,4)&lt;=0,"……………….","*"))</f>
        <v>1.677</v>
      </c>
      <c r="M58" s="121"/>
      <c r="N58" t="s">
        <v>82</v>
      </c>
      <c r="O58" s="288"/>
    </row>
    <row r="59" spans="3:15" ht="15.75" customHeight="1">
      <c r="C59" s="9" t="s">
        <v>1051</v>
      </c>
      <c r="H59" s="415"/>
      <c r="I59" s="21"/>
      <c r="J59" s="415"/>
      <c r="K59" s="27"/>
      <c r="L59" s="415"/>
      <c r="M59" s="121"/>
      <c r="O59" s="288"/>
    </row>
    <row r="60" spans="3:15" ht="15.75" customHeight="1">
      <c r="C60" s="9" t="s">
        <v>170</v>
      </c>
      <c r="H60" s="415" t="str">
        <f>IF(VLOOKUP(GAS!N60,'GAS ASCII'!$B$2:$C$200,2)&gt;=500000,VLOOKUP(GAS!N60,'GAS ASCII'!$B$2:$C$200,2)/1000000,IF(VLOOKUP(GAS!N60,'GAS ASCII'!$B$2:$C$200,2)&lt;=0,"……………….","*"))</f>
        <v>*</v>
      </c>
      <c r="I60" s="21"/>
      <c r="J60" s="415" t="str">
        <f>IF(VLOOKUP(GAS!N60,'GAS ASCII'!$B$2:$D$200,3)&gt;=500000,VLOOKUP(GAS!N60,'GAS ASCII'!$B$2:$D$200,3)/-1000000,IF(VLOOKUP(GAS!N60,'GAS ASCII'!$B$2:$D$200,3)&lt;=0,"……………….","*"))</f>
        <v>……………….</v>
      </c>
      <c r="K60" s="27"/>
      <c r="L60" s="415" t="str">
        <f>IF(VLOOKUP(GAS!N60,'GAS ASCII'!$B$2:$E$200,4)&gt;=500000,VLOOKUP(GAS!N60,'GAS ASCII'!$B$2:$E$200,4)/1000000,IF(VLOOKUP(GAS!N60,'GAS ASCII'!$B$2:$E$200,4)&lt;=0,"……………….","*"))</f>
        <v>*</v>
      </c>
      <c r="M60" s="121"/>
      <c r="N60" t="s">
        <v>1126</v>
      </c>
      <c r="O60" s="288"/>
    </row>
    <row r="61" spans="8:15" ht="15.75" customHeight="1">
      <c r="H61" s="415"/>
      <c r="I61" s="109"/>
      <c r="J61" s="415"/>
      <c r="K61" s="27"/>
      <c r="L61" s="415"/>
      <c r="M61" s="21"/>
      <c r="O61" s="288"/>
    </row>
    <row r="62" spans="3:15" ht="15.75" customHeight="1">
      <c r="C62" s="9" t="s">
        <v>362</v>
      </c>
      <c r="H62" s="415">
        <f>IF(VLOOKUP(GAS!N62,'GAS ASCII'!$B$2:$C$200,2)&gt;=500000,VLOOKUP(GAS!N62,'GAS ASCII'!$B$2:$C$200,2)/1000000,IF(VLOOKUP(GAS!N62,'GAS ASCII'!$B$2:$C$200,2)&lt;=0,"……………….","*"))</f>
        <v>71.844</v>
      </c>
      <c r="I62" s="21"/>
      <c r="J62" s="415" t="str">
        <f>IF(VLOOKUP(GAS!N62,'GAS ASCII'!$B$2:$D$200,3)&gt;=500000,VLOOKUP(GAS!N62,'GAS ASCII'!$B$2:$D$200,3)/-1000000,IF(VLOOKUP(GAS!N62,'GAS ASCII'!$B$2:$D$200,3)&lt;=0,"……………….","*"))</f>
        <v>……………….</v>
      </c>
      <c r="K62" s="27"/>
      <c r="L62" s="415">
        <f>IF(VLOOKUP(GAS!N62,'GAS ASCII'!$B$2:$E$200,4)&gt;=500000,VLOOKUP(GAS!N62,'GAS ASCII'!$B$2:$E$200,4)/1000000,IF(VLOOKUP(GAS!N62,'GAS ASCII'!$B$2:$E$200,4)&lt;=0,"……………….","*"))</f>
        <v>71.844</v>
      </c>
      <c r="M62" s="21"/>
      <c r="N62" t="s">
        <v>1128</v>
      </c>
      <c r="O62" s="288"/>
    </row>
    <row r="63" spans="3:15" ht="15.75" customHeight="1">
      <c r="C63" s="9" t="s">
        <v>1052</v>
      </c>
      <c r="H63" s="415"/>
      <c r="I63" s="21"/>
      <c r="J63" s="415"/>
      <c r="K63" s="27"/>
      <c r="L63" s="415"/>
      <c r="M63" s="21"/>
      <c r="O63" s="288"/>
    </row>
    <row r="64" spans="3:15" ht="15.75" customHeight="1">
      <c r="C64" s="9" t="s">
        <v>689</v>
      </c>
      <c r="H64" s="415">
        <f>IF(VLOOKUP(GAS!N64,'GAS ASCII'!$B$2:$C$200,2)&gt;=500000,VLOOKUP(GAS!N64,'GAS ASCII'!$B$2:$C$200,2)/1000000,IF(VLOOKUP(GAS!N64,'GAS ASCII'!$B$2:$C$200,2)&lt;=0,"……………….","*"))</f>
        <v>23.772</v>
      </c>
      <c r="I64" s="21"/>
      <c r="J64" s="415" t="str">
        <f>IF(VLOOKUP(GAS!N64,'GAS ASCII'!$B$2:$D$200,3)&gt;=500000,VLOOKUP(GAS!N64,'GAS ASCII'!$B$2:$D$200,3)/-1000000,IF(VLOOKUP(GAS!N64,'GAS ASCII'!$B$2:$D$200,3)&lt;=0,"……………….","*"))</f>
        <v>……………….</v>
      </c>
      <c r="K64" s="27"/>
      <c r="L64" s="415">
        <f>IF(VLOOKUP(GAS!N64,'GAS ASCII'!$B$2:$E$200,4)&gt;=500000,VLOOKUP(GAS!N64,'GAS ASCII'!$B$2:$E$200,4)/1000000,IF(VLOOKUP(GAS!N64,'GAS ASCII'!$B$2:$E$200,4)&lt;=0,"……………….","*"))</f>
        <v>23.772</v>
      </c>
      <c r="M64" s="121"/>
      <c r="N64" t="s">
        <v>1130</v>
      </c>
      <c r="O64" s="288"/>
    </row>
    <row r="65" spans="3:15" ht="15.75" customHeight="1">
      <c r="C65" s="9" t="s">
        <v>363</v>
      </c>
      <c r="H65" s="415"/>
      <c r="I65" s="21"/>
      <c r="J65" s="415"/>
      <c r="K65" s="21"/>
      <c r="L65" s="415"/>
      <c r="M65" s="21"/>
      <c r="O65" s="288"/>
    </row>
    <row r="66" spans="3:15" ht="15.75" customHeight="1">
      <c r="C66" s="9" t="s">
        <v>695</v>
      </c>
      <c r="H66" s="415">
        <f>IF(VLOOKUP(GAS!N66,'GAS ASCII'!$B$2:$C$200,2)&gt;=500000,VLOOKUP(GAS!N66,'GAS ASCII'!$B$2:$C$200,2)/1000000,IF(VLOOKUP(GAS!N66,'GAS ASCII'!$B$2:$C$200,2)&lt;=0,"……………….","*"))</f>
        <v>2.336</v>
      </c>
      <c r="I66" s="21"/>
      <c r="J66" s="415" t="str">
        <f>IF(VLOOKUP(GAS!N66,'GAS ASCII'!$B$2:$D$200,3)&gt;=500000,VLOOKUP(GAS!N66,'GAS ASCII'!$B$2:$D$200,3)/-1000000,IF(VLOOKUP(GAS!N66,'GAS ASCII'!$B$2:$D$200,3)&lt;=0,"……………….","*"))</f>
        <v>……………….</v>
      </c>
      <c r="K66" s="27"/>
      <c r="L66" s="415">
        <f>IF(VLOOKUP(GAS!N66,'GAS ASCII'!$B$2:$E$200,4)&gt;=500000,VLOOKUP(GAS!N66,'GAS ASCII'!$B$2:$E$200,4)/1000000,IF(VLOOKUP(GAS!N66,'GAS ASCII'!$B$2:$E$200,4)&lt;=0,"……………….","*"))</f>
        <v>2.336</v>
      </c>
      <c r="M66" s="21"/>
      <c r="N66" t="s">
        <v>1132</v>
      </c>
      <c r="O66" s="288"/>
    </row>
    <row r="67" spans="3:15" ht="15.75" customHeight="1">
      <c r="C67" s="9" t="s">
        <v>696</v>
      </c>
      <c r="H67" s="415">
        <f>IF(VLOOKUP(GAS!N67,'GAS ASCII'!$B$2:$C$200,2)&gt;=500000,VLOOKUP(GAS!N67,'GAS ASCII'!$B$2:$C$200,2)/1000000,IF(VLOOKUP(GAS!N67,'GAS ASCII'!$B$2:$C$200,2)&lt;=0,"……………….","*"))</f>
        <v>727716.49445953</v>
      </c>
      <c r="I67" s="21"/>
      <c r="J67" s="415">
        <f>IF(VLOOKUP(GAS!N67,'GAS ASCII'!$B$2:$D$200,3)&gt;=500000,VLOOKUP(GAS!N67,'GAS ASCII'!$B$2:$D$200,3)/-1000000,IF(VLOOKUP(GAS!N67,'GAS ASCII'!$B$2:$D$200,3)&lt;=0,"……………….","*"))</f>
        <v>-118841.68737423</v>
      </c>
      <c r="K67" s="21"/>
      <c r="L67" s="415">
        <f>IF(VLOOKUP(GAS!N67,'GAS ASCII'!$B$2:$E$200,4)&gt;=500000,VLOOKUP(GAS!N67,'GAS ASCII'!$B$2:$E$200,4)/1000000,IF(VLOOKUP(GAS!N67,'GAS ASCII'!$B$2:$E$200,4)&lt;=0,"……………….","*"))</f>
        <v>608874.8070853001</v>
      </c>
      <c r="M67" s="21"/>
      <c r="N67" t="s">
        <v>1134</v>
      </c>
      <c r="O67" s="288"/>
    </row>
    <row r="68" spans="3:15" ht="15.75" customHeight="1">
      <c r="C68" s="9" t="s">
        <v>364</v>
      </c>
      <c r="H68" s="415">
        <f>IF(VLOOKUP(GAS!N68,'GAS ASCII'!$B$2:$C$200,2)&gt;=500000,VLOOKUP(GAS!N68,'GAS ASCII'!$B$2:$C$200,2)/1000000,IF(VLOOKUP(GAS!N68,'GAS ASCII'!$B$2:$C$200,2)&lt;=0,"……………….","*"))</f>
        <v>10.387</v>
      </c>
      <c r="I68" s="21"/>
      <c r="J68" s="415" t="str">
        <f>IF(VLOOKUP(GAS!N68,'GAS ASCII'!$B$2:$D$200,3)&gt;=500000,VLOOKUP(GAS!N68,'GAS ASCII'!$B$2:$D$200,3)/-1000000,IF(VLOOKUP(GAS!N68,'GAS ASCII'!$B$2:$D$200,3)&lt;=0,"……………….","*"))</f>
        <v>……………….</v>
      </c>
      <c r="K68" s="27"/>
      <c r="L68" s="415">
        <f>IF(VLOOKUP(GAS!N68,'GAS ASCII'!$B$2:$E$200,4)&gt;=500000,VLOOKUP(GAS!N68,'GAS ASCII'!$B$2:$E$200,4)/1000000,IF(VLOOKUP(GAS!N68,'GAS ASCII'!$B$2:$E$200,4)&lt;=0,"……………….","*"))</f>
        <v>10.387</v>
      </c>
      <c r="M68" s="21"/>
      <c r="N68" t="s">
        <v>1136</v>
      </c>
      <c r="O68" s="288"/>
    </row>
    <row r="69" spans="3:15" ht="15.75" customHeight="1">
      <c r="C69" s="9" t="s">
        <v>1189</v>
      </c>
      <c r="H69" s="415">
        <f>IF(VLOOKUP(GAS!N69,'GAS ASCII'!$B$2:$C$200,2)&gt;=500000,VLOOKUP(GAS!N69,'GAS ASCII'!$B$2:$C$200,2)/1000000,IF(VLOOKUP(GAS!N69,'GAS ASCII'!$B$2:$C$200,2)&lt;=0,"……………….","*"))</f>
        <v>1.295</v>
      </c>
      <c r="I69" s="21"/>
      <c r="J69" s="415" t="str">
        <f>IF(VLOOKUP(GAS!N69,'GAS ASCII'!$B$2:$D$200,3)&gt;=500000,VLOOKUP(GAS!N69,'GAS ASCII'!$B$2:$D$200,3)/-1000000,IF(VLOOKUP(GAS!N69,'GAS ASCII'!$B$2:$D$200,3)&lt;=0,"……………….","*"))</f>
        <v>……………….</v>
      </c>
      <c r="K69" s="27"/>
      <c r="L69" s="415">
        <f>IF(VLOOKUP(GAS!N69,'GAS ASCII'!$B$2:$E$200,4)&gt;=500000,VLOOKUP(GAS!N69,'GAS ASCII'!$B$2:$E$200,4)/1000000,IF(VLOOKUP(GAS!N69,'GAS ASCII'!$B$2:$E$200,4)&lt;=0,"……………….","*"))</f>
        <v>1.295</v>
      </c>
      <c r="M69" s="21"/>
      <c r="N69" t="s">
        <v>1138</v>
      </c>
      <c r="O69" s="288"/>
    </row>
    <row r="70" spans="3:15" ht="15.75" customHeight="1">
      <c r="C70" s="9" t="s">
        <v>237</v>
      </c>
      <c r="H70" s="415"/>
      <c r="I70" s="21"/>
      <c r="J70" s="415"/>
      <c r="K70" s="27"/>
      <c r="L70" s="415"/>
      <c r="M70" s="21"/>
      <c r="O70" s="288"/>
    </row>
    <row r="71" spans="3:15" ht="15.75" customHeight="1">
      <c r="C71" s="9" t="s">
        <v>977</v>
      </c>
      <c r="H71" s="415">
        <f>IF(VLOOKUP(GAS!N71,'GAS ASCII'!$B$2:$C$200,2)&gt;=500000,VLOOKUP(GAS!N71,'GAS ASCII'!$B$2:$C$200,2)/1000000,IF(VLOOKUP(GAS!N71,'GAS ASCII'!$B$2:$C$200,2)&lt;=0,"……………….","*"))</f>
        <v>8.884</v>
      </c>
      <c r="I71" s="21"/>
      <c r="J71" s="415" t="str">
        <f>IF(VLOOKUP(GAS!N71,'GAS ASCII'!$B$2:$D$200,3)&gt;=500000,VLOOKUP(GAS!N71,'GAS ASCII'!$B$2:$D$200,3)/-1000000,IF(VLOOKUP(GAS!N71,'GAS ASCII'!$B$2:$D$200,3)&lt;=0,"……………….","*"))</f>
        <v>……………….</v>
      </c>
      <c r="K71" s="27"/>
      <c r="L71" s="415">
        <f>IF(VLOOKUP(GAS!N71,'GAS ASCII'!$B$2:$E$200,4)&gt;=500000,VLOOKUP(GAS!N71,'GAS ASCII'!$B$2:$E$200,4)/1000000,IF(VLOOKUP(GAS!N71,'GAS ASCII'!$B$2:$E$200,4)&lt;=0,"……………….","*"))</f>
        <v>8.884</v>
      </c>
      <c r="M71" s="21"/>
      <c r="N71" t="s">
        <v>1140</v>
      </c>
      <c r="O71" s="288"/>
    </row>
    <row r="72" spans="3:15" ht="15.75" customHeight="1">
      <c r="C72" s="9" t="s">
        <v>946</v>
      </c>
      <c r="H72" s="415">
        <f>IF(VLOOKUP(GAS!N72,'GAS ASCII'!$B$2:$C$200,2)&gt;=500000,VLOOKUP(GAS!N72,'GAS ASCII'!$B$2:$C$200,2)/1000000,IF(VLOOKUP(GAS!N72,'GAS ASCII'!$B$2:$C$200,2)&lt;=0,"……………….","*"))</f>
        <v>4.05</v>
      </c>
      <c r="I72" s="21"/>
      <c r="J72" s="415" t="str">
        <f>IF(VLOOKUP(GAS!N72,'GAS ASCII'!$B$2:$D$200,3)&gt;=500000,VLOOKUP(GAS!N72,'GAS ASCII'!$B$2:$D$200,3)/-1000000,IF(VLOOKUP(GAS!N72,'GAS ASCII'!$B$2:$D$200,3)&lt;=0,"……………….","*"))</f>
        <v>……………….</v>
      </c>
      <c r="K72" s="27"/>
      <c r="L72" s="415">
        <f>IF(VLOOKUP(GAS!N72,'GAS ASCII'!$B$2:$E$200,4)&gt;=500000,VLOOKUP(GAS!N72,'GAS ASCII'!$B$2:$E$200,4)/1000000,IF(VLOOKUP(GAS!N72,'GAS ASCII'!$B$2:$E$200,4)&lt;=0,"……………….","*"))</f>
        <v>4.05</v>
      </c>
      <c r="M72" s="121"/>
      <c r="N72" t="s">
        <v>1142</v>
      </c>
      <c r="O72" s="288"/>
    </row>
    <row r="73" spans="3:15" ht="15.75" customHeight="1">
      <c r="C73" s="9" t="s">
        <v>408</v>
      </c>
      <c r="H73" s="415">
        <f>IF(VLOOKUP(GAS!N73,'GAS ASCII'!$B$2:$C$200,2)&gt;=500000,VLOOKUP(GAS!N73,'GAS ASCII'!$B$2:$C$200,2)/1000000,IF(VLOOKUP(GAS!N73,'GAS ASCII'!$B$2:$C$200,2)&lt;=0,"……………….","*"))</f>
        <v>40.868</v>
      </c>
      <c r="I73" s="21"/>
      <c r="J73" s="415" t="str">
        <f>IF(VLOOKUP(GAS!N73,'GAS ASCII'!$B$2:$D$200,3)&gt;=500000,VLOOKUP(GAS!N73,'GAS ASCII'!$B$2:$D$200,3)/-1000000,IF(VLOOKUP(GAS!N73,'GAS ASCII'!$B$2:$D$200,3)&lt;=0,"……………….","*"))</f>
        <v>……………….</v>
      </c>
      <c r="K73" s="27"/>
      <c r="L73" s="415">
        <f>IF(VLOOKUP(GAS!N73,'GAS ASCII'!$B$2:$E$200,4)&gt;=500000,VLOOKUP(GAS!N73,'GAS ASCII'!$B$2:$E$200,4)/1000000,IF(VLOOKUP(GAS!N73,'GAS ASCII'!$B$2:$E$200,4)&lt;=0,"……………….","*"))</f>
        <v>40.868</v>
      </c>
      <c r="M73" s="21"/>
      <c r="N73" t="s">
        <v>1144</v>
      </c>
      <c r="O73" s="288"/>
    </row>
    <row r="74" spans="3:15" ht="15.75" customHeight="1">
      <c r="C74" s="9" t="s">
        <v>411</v>
      </c>
      <c r="H74" s="415">
        <f>IF(VLOOKUP(GAS!N74,'GAS ASCII'!$B$2:$C$200,2)&gt;=500000,VLOOKUP(GAS!N74,'GAS ASCII'!$B$2:$C$200,2)/1000000,IF(VLOOKUP(GAS!N74,'GAS ASCII'!$B$2:$C$200,2)&lt;=0,"……………….","*"))</f>
        <v>9.284</v>
      </c>
      <c r="I74" s="21"/>
      <c r="J74" s="415" t="str">
        <f>IF(VLOOKUP(GAS!N74,'GAS ASCII'!$B$2:$D$200,3)&gt;=500000,VLOOKUP(GAS!N74,'GAS ASCII'!$B$2:$D$200,3)/-1000000,IF(VLOOKUP(GAS!N74,'GAS ASCII'!$B$2:$D$200,3)&lt;=0,"……………….","*"))</f>
        <v>……………….</v>
      </c>
      <c r="K74" s="27"/>
      <c r="L74" s="415">
        <f>IF(VLOOKUP(GAS!N74,'GAS ASCII'!$B$2:$E$200,4)&gt;=500000,VLOOKUP(GAS!N74,'GAS ASCII'!$B$2:$E$200,4)/1000000,IF(VLOOKUP(GAS!N74,'GAS ASCII'!$B$2:$E$200,4)&lt;=0,"……………….","*"))</f>
        <v>9.284</v>
      </c>
      <c r="M74" s="21"/>
      <c r="N74" t="s">
        <v>1146</v>
      </c>
      <c r="O74" s="288"/>
    </row>
    <row r="75" spans="3:15" ht="15.75" customHeight="1">
      <c r="C75" s="9"/>
      <c r="H75" s="415"/>
      <c r="I75" s="21"/>
      <c r="J75" s="415"/>
      <c r="K75" s="27"/>
      <c r="L75" s="415"/>
      <c r="M75" s="21"/>
      <c r="O75" s="288"/>
    </row>
    <row r="76" spans="3:15" ht="15.75" customHeight="1">
      <c r="C76" s="9" t="s">
        <v>413</v>
      </c>
      <c r="H76" s="415">
        <f>IF(VLOOKUP(GAS!N76,'GAS ASCII'!$B$2:$C$200,2)&gt;=500000,VLOOKUP(GAS!N76,'GAS ASCII'!$B$2:$C$200,2)/1000000,IF(VLOOKUP(GAS!N76,'GAS ASCII'!$B$2:$C$200,2)&lt;=0,"……………….","*"))</f>
        <v>963.48327421</v>
      </c>
      <c r="I76" s="402"/>
      <c r="J76" s="415" t="str">
        <f>IF(VLOOKUP(GAS!N76,'GAS ASCII'!$B$2:$D$200,3)&gt;=500000,VLOOKUP(GAS!N76,'GAS ASCII'!$B$2:$D$200,3)/-1000000,IF(VLOOKUP(GAS!N76,'GAS ASCII'!$B$2:$D$200,3)&lt;=0,"……………….","*"))</f>
        <v>……………….</v>
      </c>
      <c r="K76" s="27"/>
      <c r="L76" s="415">
        <f>IF(VLOOKUP(GAS!N76,'GAS ASCII'!$B$2:$E$200,4)&gt;=500000,VLOOKUP(GAS!N76,'GAS ASCII'!$B$2:$E$200,4)/1000000,IF(VLOOKUP(GAS!N76,'GAS ASCII'!$B$2:$E$200,4)&lt;=0,"……………….","*"))</f>
        <v>963.48327421</v>
      </c>
      <c r="M76" s="21"/>
      <c r="N76" t="s">
        <v>1148</v>
      </c>
      <c r="O76" s="288"/>
    </row>
    <row r="77" spans="3:15" ht="15.75" customHeight="1">
      <c r="C77" s="9" t="s">
        <v>1181</v>
      </c>
      <c r="H77" s="415">
        <f>IF(VLOOKUP(GAS!N77,'GAS ASCII'!$B$2:$C$200,2)&gt;=500000,VLOOKUP(GAS!N77,'GAS ASCII'!$B$2:$C$200,2)/1000000,IF(VLOOKUP(GAS!N77,'GAS ASCII'!$B$2:$C$200,2)&lt;=0,"……………….","*"))</f>
        <v>33758.05535398</v>
      </c>
      <c r="I77" s="402"/>
      <c r="J77" s="415" t="str">
        <f>IF(VLOOKUP(GAS!N77,'GAS ASCII'!$B$2:$D$200,3)&gt;=500000,VLOOKUP(GAS!N77,'GAS ASCII'!$B$2:$D$200,3)/-1000000,IF(VLOOKUP(GAS!N77,'GAS ASCII'!$B$2:$D$200,3)&lt;=0,"……………….","*"))</f>
        <v>……………….</v>
      </c>
      <c r="K77" s="27"/>
      <c r="L77" s="415">
        <f>IF(VLOOKUP(GAS!N77,'GAS ASCII'!$B$2:$E$200,4)&gt;=500000,VLOOKUP(GAS!N77,'GAS ASCII'!$B$2:$E$200,4)/1000000,IF(VLOOKUP(GAS!N77,'GAS ASCII'!$B$2:$E$200,4)&lt;=0,"……………….","*"))</f>
        <v>33758.05535398</v>
      </c>
      <c r="M77" s="21"/>
      <c r="N77" t="s">
        <v>1150</v>
      </c>
      <c r="O77" s="288"/>
    </row>
    <row r="78" spans="3:15" ht="15.75" customHeight="1">
      <c r="C78" s="9" t="s">
        <v>896</v>
      </c>
      <c r="H78" s="415">
        <f>IF(VLOOKUP(GAS!N78,'GAS ASCII'!$B$2:$C$200,2)&gt;=500000,VLOOKUP(GAS!N78,'GAS ASCII'!$B$2:$C$200,2)/1000000,IF(VLOOKUP(GAS!N78,'GAS ASCII'!$B$2:$C$200,2)&lt;=0,"……………….","*"))</f>
        <v>189982.16131185</v>
      </c>
      <c r="I78" s="402"/>
      <c r="J78" s="415">
        <f>IF(VLOOKUP(GAS!N78,'GAS ASCII'!$B$2:$D$200,3)&gt;=500000,VLOOKUP(GAS!N78,'GAS ASCII'!$B$2:$D$200,3)/-1000000,IF(VLOOKUP(GAS!N78,'GAS ASCII'!$B$2:$D$200,3)&lt;=0,"……………….","*"))</f>
        <v>-5000.25</v>
      </c>
      <c r="K78" s="21"/>
      <c r="L78" s="415">
        <f>IF(VLOOKUP(GAS!N78,'GAS ASCII'!$B$2:$E$200,4)&gt;=500000,VLOOKUP(GAS!N78,'GAS ASCII'!$B$2:$E$200,4)/1000000,IF(VLOOKUP(GAS!N78,'GAS ASCII'!$B$2:$E$200,4)&lt;=0,"……………….","*"))</f>
        <v>184981.91131185</v>
      </c>
      <c r="M78" s="21"/>
      <c r="N78" t="s">
        <v>1152</v>
      </c>
      <c r="O78" s="288"/>
    </row>
    <row r="79" spans="3:15" ht="15.75" customHeight="1">
      <c r="C79" s="9" t="s">
        <v>897</v>
      </c>
      <c r="H79" s="415">
        <f>IF(VLOOKUP(GAS!N79,'GAS ASCII'!$B$2:$C$200,2)&gt;=500000,VLOOKUP(GAS!N79,'GAS ASCII'!$B$2:$C$200,2)/1000000,IF(VLOOKUP(GAS!N79,'GAS ASCII'!$B$2:$C$200,2)&lt;=0,"……………….","*"))</f>
        <v>0.774</v>
      </c>
      <c r="I79" s="21"/>
      <c r="J79" s="415" t="str">
        <f>IF(VLOOKUP(GAS!N79,'GAS ASCII'!$B$2:$D$200,3)&gt;=500000,VLOOKUP(GAS!N79,'GAS ASCII'!$B$2:$D$200,3)/-1000000,IF(VLOOKUP(GAS!N79,'GAS ASCII'!$B$2:$D$200,3)&lt;=0,"……………….","*"))</f>
        <v>*</v>
      </c>
      <c r="K79" s="3"/>
      <c r="L79" s="415">
        <f>IF(VLOOKUP(GAS!N79,'GAS ASCII'!$B$2:$E$200,4)&gt;=500000,VLOOKUP(GAS!N79,'GAS ASCII'!$B$2:$E$200,4)/1000000,IF(VLOOKUP(GAS!N79,'GAS ASCII'!$B$2:$E$200,4)&lt;=0,"……………….","*"))</f>
        <v>0.669</v>
      </c>
      <c r="M79" s="21"/>
      <c r="N79" t="s">
        <v>1154</v>
      </c>
      <c r="O79" s="288"/>
    </row>
    <row r="80" spans="3:15" ht="15.75" customHeight="1">
      <c r="C80" s="9" t="s">
        <v>224</v>
      </c>
      <c r="H80" s="415">
        <f>IF(VLOOKUP(GAS!N80,'GAS ASCII'!$B$2:$C$200,2)&gt;=500000,VLOOKUP(GAS!N80,'GAS ASCII'!$B$2:$C$200,2)/1000000,IF(VLOOKUP(GAS!N80,'GAS ASCII'!$B$2:$C$200,2)&lt;=0,"……………….","*"))</f>
        <v>3.037</v>
      </c>
      <c r="I80" s="21"/>
      <c r="J80" s="415" t="str">
        <f>IF(VLOOKUP(GAS!N80,'GAS ASCII'!$B$2:$D$200,3)&gt;=500000,VLOOKUP(GAS!N80,'GAS ASCII'!$B$2:$D$200,3)/-1000000,IF(VLOOKUP(GAS!N80,'GAS ASCII'!$B$2:$D$200,3)&lt;=0,"……………….","*"))</f>
        <v>……………….</v>
      </c>
      <c r="K80" s="27"/>
      <c r="L80" s="415">
        <f>IF(VLOOKUP(GAS!N80,'GAS ASCII'!$B$2:$E$200,4)&gt;=500000,VLOOKUP(GAS!N80,'GAS ASCII'!$B$2:$E$200,4)/1000000,IF(VLOOKUP(GAS!N80,'GAS ASCII'!$B$2:$E$200,4)&lt;=0,"……………….","*"))</f>
        <v>3.037</v>
      </c>
      <c r="M80" s="21"/>
      <c r="N80" t="s">
        <v>1156</v>
      </c>
      <c r="O80" s="288"/>
    </row>
    <row r="81" spans="3:15" ht="15.75" customHeight="1">
      <c r="C81" s="9" t="s">
        <v>225</v>
      </c>
      <c r="H81" s="415">
        <f>IF(VLOOKUP(GAS!N81,'GAS ASCII'!$B$2:$C$200,2)&gt;=500000,VLOOKUP(GAS!N81,'GAS ASCII'!$B$2:$C$200,2)/1000000,IF(VLOOKUP(GAS!N81,'GAS ASCII'!$B$2:$C$200,2)&lt;=0,"……………….","*"))</f>
        <v>2.435</v>
      </c>
      <c r="I81" s="21"/>
      <c r="J81" s="415" t="str">
        <f>IF(VLOOKUP(GAS!N81,'GAS ASCII'!$B$2:$D$200,3)&gt;=500000,VLOOKUP(GAS!N81,'GAS ASCII'!$B$2:$D$200,3)/-1000000,IF(VLOOKUP(GAS!N81,'GAS ASCII'!$B$2:$D$200,3)&lt;=0,"……………….","*"))</f>
        <v>……………….</v>
      </c>
      <c r="K81" s="27"/>
      <c r="L81" s="415">
        <f>IF(VLOOKUP(GAS!N81,'GAS ASCII'!$B$2:$E$200,4)&gt;=500000,VLOOKUP(GAS!N81,'GAS ASCII'!$B$2:$E$200,4)/1000000,IF(VLOOKUP(GAS!N81,'GAS ASCII'!$B$2:$E$200,4)&lt;=0,"……………….","*"))</f>
        <v>2.435</v>
      </c>
      <c r="M81" s="108"/>
      <c r="N81" t="s">
        <v>1158</v>
      </c>
      <c r="O81" s="288"/>
    </row>
    <row r="82" spans="3:15" ht="15.75" customHeight="1">
      <c r="C82" s="9" t="s">
        <v>227</v>
      </c>
      <c r="H82" s="415">
        <f>IF(VLOOKUP(GAS!N82,'GAS ASCII'!$B$2:$C$200,2)&gt;=500000,VLOOKUP(GAS!N82,'GAS ASCII'!$B$2:$C$200,2)/1000000,IF(VLOOKUP(GAS!N82,'GAS ASCII'!$B$2:$C$200,2)&lt;=0,"……………….","*"))</f>
        <v>93.156</v>
      </c>
      <c r="I82" s="21"/>
      <c r="J82" s="415" t="str">
        <f>IF(VLOOKUP(GAS!N82,'GAS ASCII'!$B$2:$D$200,3)&gt;=500000,VLOOKUP(GAS!N82,'GAS ASCII'!$B$2:$D$200,3)/-1000000,IF(VLOOKUP(GAS!N82,'GAS ASCII'!$B$2:$D$200,3)&lt;=0,"……………….","*"))</f>
        <v>……………….</v>
      </c>
      <c r="K82" s="27"/>
      <c r="L82" s="415">
        <f>IF(VLOOKUP(GAS!N82,'GAS ASCII'!$B$2:$E$200,4)&gt;=500000,VLOOKUP(GAS!N82,'GAS ASCII'!$B$2:$E$200,4)/1000000,IF(VLOOKUP(GAS!N82,'GAS ASCII'!$B$2:$E$200,4)&lt;=0,"……………….","*"))</f>
        <v>93.156</v>
      </c>
      <c r="M82" s="21"/>
      <c r="N82" t="s">
        <v>1160</v>
      </c>
      <c r="O82" s="288"/>
    </row>
    <row r="83" spans="3:15" ht="15.75" customHeight="1">
      <c r="C83" s="9" t="s">
        <v>1102</v>
      </c>
      <c r="H83" s="415">
        <f>IF(VLOOKUP(GAS!N83,'GAS ASCII'!$B$2:$C$200,2)&gt;=500000,VLOOKUP(GAS!N83,'GAS ASCII'!$B$2:$C$200,2)/1000000,IF(VLOOKUP(GAS!N83,'GAS ASCII'!$B$2:$C$200,2)&lt;=0,"……………….","*"))</f>
        <v>1948.441</v>
      </c>
      <c r="I83" s="21"/>
      <c r="J83" s="415" t="str">
        <f>IF(VLOOKUP(GAS!N83,'GAS ASCII'!$B$2:$D$200,3)&gt;=500000,VLOOKUP(GAS!N83,'GAS ASCII'!$B$2:$D$200,3)/-1000000,IF(VLOOKUP(GAS!N83,'GAS ASCII'!$B$2:$D$200,3)&lt;=0,"……………….","*"))</f>
        <v>……………….</v>
      </c>
      <c r="K83" s="27"/>
      <c r="L83" s="415">
        <f>IF(VLOOKUP(GAS!N83,'GAS ASCII'!$B$2:$E$200,4)&gt;=500000,VLOOKUP(GAS!N83,'GAS ASCII'!$B$2:$E$200,4)/1000000,IF(VLOOKUP(GAS!N83,'GAS ASCII'!$B$2:$E$200,4)&lt;=0,"……………….","*"))</f>
        <v>1948.441</v>
      </c>
      <c r="M83" s="21"/>
      <c r="N83" t="s">
        <v>87</v>
      </c>
      <c r="O83" s="288"/>
    </row>
    <row r="84" spans="3:15" ht="15.75" customHeight="1">
      <c r="C84" s="9"/>
      <c r="H84" s="415"/>
      <c r="I84" s="21"/>
      <c r="J84" s="415"/>
      <c r="K84" s="27"/>
      <c r="L84" s="415"/>
      <c r="M84" s="21"/>
      <c r="O84" s="288"/>
    </row>
    <row r="85" spans="3:15" ht="15.75" customHeight="1">
      <c r="C85" s="9" t="s">
        <v>228</v>
      </c>
      <c r="H85" s="415">
        <f>IF(VLOOKUP(GAS!N85,'GAS ASCII'!$B$2:$C$200,2)&gt;=500000,VLOOKUP(GAS!N85,'GAS ASCII'!$B$2:$C$200,2)/1000000,IF(VLOOKUP(GAS!N85,'GAS ASCII'!$B$2:$C$200,2)&lt;=0,"……………….","*"))</f>
        <v>8.734</v>
      </c>
      <c r="I85" s="21"/>
      <c r="J85" s="415">
        <f>IF(VLOOKUP(GAS!N85,'GAS ASCII'!$B$2:$D$200,3)&gt;=500000,VLOOKUP(GAS!N85,'GAS ASCII'!$B$2:$D$200,3)/-1000000,IF(VLOOKUP(GAS!N85,'GAS ASCII'!$B$2:$D$200,3)&lt;=0,"……………….","*"))</f>
        <v>-1.2</v>
      </c>
      <c r="K85" s="21"/>
      <c r="L85" s="415">
        <f>IF(VLOOKUP(GAS!N85,'GAS ASCII'!$B$2:$E$200,4)&gt;=500000,VLOOKUP(GAS!N85,'GAS ASCII'!$B$2:$E$200,4)/1000000,IF(VLOOKUP(GAS!N85,'GAS ASCII'!$B$2:$E$200,4)&lt;=0,"……………….","*"))</f>
        <v>7.534</v>
      </c>
      <c r="M85" s="21"/>
      <c r="N85" t="s">
        <v>89</v>
      </c>
      <c r="O85" s="288"/>
    </row>
    <row r="86" spans="3:15" ht="15.75" customHeight="1">
      <c r="C86" s="9" t="s">
        <v>83</v>
      </c>
      <c r="H86" s="415">
        <f>IF(VLOOKUP(GAS!N86,'GAS ASCII'!$B$2:$C$200,2)&gt;=500000,VLOOKUP(GAS!N86,'GAS ASCII'!$B$2:$C$200,2)/1000000,IF(VLOOKUP(GAS!N86,'GAS ASCII'!$B$2:$C$200,2)&lt;=0,"……………….","*"))</f>
        <v>11366.088</v>
      </c>
      <c r="I86" s="21"/>
      <c r="J86" s="415">
        <f>IF(VLOOKUP(GAS!N86,'GAS ASCII'!$B$2:$D$200,3)&gt;=500000,VLOOKUP(GAS!N86,'GAS ASCII'!$B$2:$D$200,3)/-1000000,IF(VLOOKUP(GAS!N86,'GAS ASCII'!$B$2:$D$200,3)&lt;=0,"……………….","*"))</f>
        <v>-1831.962</v>
      </c>
      <c r="K86" s="21"/>
      <c r="L86" s="415">
        <f>IF(VLOOKUP(GAS!N86,'GAS ASCII'!$B$2:$E$200,4)&gt;=500000,VLOOKUP(GAS!N86,'GAS ASCII'!$B$2:$E$200,4)/1000000,IF(VLOOKUP(GAS!N86,'GAS ASCII'!$B$2:$E$200,4)&lt;=0,"……………….","*"))</f>
        <v>9534.126</v>
      </c>
      <c r="M86" s="21"/>
      <c r="N86" t="s">
        <v>91</v>
      </c>
      <c r="O86" s="288"/>
    </row>
    <row r="87" spans="3:15" ht="15.75" customHeight="1">
      <c r="C87" s="9" t="s">
        <v>240</v>
      </c>
      <c r="H87" s="415">
        <f>IF(VLOOKUP(GAS!N87,'GAS ASCII'!$B$2:$C$200,2)&gt;=500000,VLOOKUP(GAS!N87,'GAS ASCII'!$B$2:$C$200,2)/1000000,IF(VLOOKUP(GAS!N87,'GAS ASCII'!$B$2:$C$200,2)&lt;=0,"……………….","*"))</f>
        <v>27196.088</v>
      </c>
      <c r="I87" s="21"/>
      <c r="J87" s="415" t="str">
        <f>IF(VLOOKUP(GAS!N87,'GAS ASCII'!$B$2:$D$200,3)&gt;=500000,VLOOKUP(GAS!N87,'GAS ASCII'!$B$2:$D$200,3)/-1000000,IF(VLOOKUP(GAS!N87,'GAS ASCII'!$B$2:$D$200,3)&lt;=0,"……………….","*"))</f>
        <v>……………….</v>
      </c>
      <c r="K87" s="27"/>
      <c r="L87" s="415">
        <f>IF(VLOOKUP(GAS!N87,'GAS ASCII'!$B$2:$E$200,4)&gt;=500000,VLOOKUP(GAS!N87,'GAS ASCII'!$B$2:$E$200,4)/1000000,IF(VLOOKUP(GAS!N87,'GAS ASCII'!$B$2:$E$200,4)&lt;=0,"……………….","*"))</f>
        <v>27196.088</v>
      </c>
      <c r="M87" s="21"/>
      <c r="N87" t="s">
        <v>93</v>
      </c>
      <c r="O87" s="288"/>
    </row>
    <row r="88" spans="3:15" ht="15.75" customHeight="1">
      <c r="C88" s="9" t="s">
        <v>172</v>
      </c>
      <c r="H88" s="415">
        <f>IF(VLOOKUP(GAS!N88,'GAS ASCII'!$B$2:$C$200,2)&gt;=500000,VLOOKUP(GAS!N88,'GAS ASCII'!$B$2:$C$200,2)/1000000,IF(VLOOKUP(GAS!N88,'GAS ASCII'!$B$2:$C$200,2)&lt;=0,"……………….","*"))</f>
        <v>0.554</v>
      </c>
      <c r="I88" s="21"/>
      <c r="J88" s="415" t="str">
        <f>IF(VLOOKUP(GAS!N88,'GAS ASCII'!$B$2:$D$200,3)&gt;=500000,VLOOKUP(GAS!N88,'GAS ASCII'!$B$2:$D$200,3)/-1000000,IF(VLOOKUP(GAS!N88,'GAS ASCII'!$B$2:$D$200,3)&lt;=0,"……………….","*"))</f>
        <v>……………….</v>
      </c>
      <c r="K88" s="27"/>
      <c r="L88" s="415">
        <f>IF(VLOOKUP(GAS!N88,'GAS ASCII'!$B$2:$E$200,4)&gt;=500000,VLOOKUP(GAS!N88,'GAS ASCII'!$B$2:$E$200,4)/1000000,IF(VLOOKUP(GAS!N88,'GAS ASCII'!$B$2:$E$200,4)&lt;=0,"……………….","*"))</f>
        <v>0.554</v>
      </c>
      <c r="M88" s="21"/>
      <c r="N88" t="s">
        <v>95</v>
      </c>
      <c r="O88" s="288"/>
    </row>
    <row r="89" spans="3:15" ht="15.75" customHeight="1">
      <c r="C89" s="9" t="s">
        <v>1161</v>
      </c>
      <c r="H89" s="415">
        <f>IF(VLOOKUP(GAS!N89,'GAS ASCII'!$B$2:$C$200,2)&gt;=500000,VLOOKUP(GAS!N89,'GAS ASCII'!$B$2:$C$200,2)/1000000,IF(VLOOKUP(GAS!N89,'GAS ASCII'!$B$2:$C$200,2)&lt;=0,"……………….","*"))</f>
        <v>102.821</v>
      </c>
      <c r="I89" s="21"/>
      <c r="J89" s="415" t="str">
        <f>IF(VLOOKUP(GAS!N89,'GAS ASCII'!$B$2:$D$200,3)&gt;=500000,VLOOKUP(GAS!N89,'GAS ASCII'!$B$2:$D$200,3)/-1000000,IF(VLOOKUP(GAS!N89,'GAS ASCII'!$B$2:$D$200,3)&lt;=0,"……………….","*"))</f>
        <v>……………….</v>
      </c>
      <c r="K89" s="27"/>
      <c r="L89" s="415">
        <f>IF(VLOOKUP(GAS!N89,'GAS ASCII'!$B$2:$E$200,4)&gt;=500000,VLOOKUP(GAS!N89,'GAS ASCII'!$B$2:$E$200,4)/1000000,IF(VLOOKUP(GAS!N89,'GAS ASCII'!$B$2:$E$200,4)&lt;=0,"……………….","*"))</f>
        <v>102.821</v>
      </c>
      <c r="M89" s="21"/>
      <c r="N89" t="s">
        <v>97</v>
      </c>
      <c r="O89" s="288"/>
    </row>
    <row r="90" spans="3:15" ht="15.75" customHeight="1">
      <c r="C90" s="9" t="s">
        <v>84</v>
      </c>
      <c r="H90" s="415">
        <f>IF(VLOOKUP(GAS!N90,'GAS ASCII'!$B$2:$C$200,2)&gt;=500000,VLOOKUP(GAS!N90,'GAS ASCII'!$B$2:$C$200,2)/1000000,IF(VLOOKUP(GAS!N90,'GAS ASCII'!$B$2:$C$200,2)&lt;=0,"……………….","*"))</f>
        <v>932.539</v>
      </c>
      <c r="I90" s="21"/>
      <c r="J90" s="415" t="str">
        <f>IF(VLOOKUP(GAS!N90,'GAS ASCII'!$B$2:$D$200,3)&gt;=500000,VLOOKUP(GAS!N90,'GAS ASCII'!$B$2:$D$200,3)/-1000000,IF(VLOOKUP(GAS!N90,'GAS ASCII'!$B$2:$D$200,3)&lt;=0,"……………….","*"))</f>
        <v>……………….</v>
      </c>
      <c r="K90" s="27"/>
      <c r="L90" s="415">
        <f>IF(VLOOKUP(GAS!N90,'GAS ASCII'!$B$2:$E$200,4)&gt;=500000,VLOOKUP(GAS!N90,'GAS ASCII'!$B$2:$E$200,4)/1000000,IF(VLOOKUP(GAS!N90,'GAS ASCII'!$B$2:$E$200,4)&lt;=0,"……………….","*"))</f>
        <v>932.539</v>
      </c>
      <c r="M90" s="21"/>
      <c r="N90" t="s">
        <v>99</v>
      </c>
      <c r="O90" s="288"/>
    </row>
    <row r="91" spans="3:15" ht="15.75" customHeight="1">
      <c r="C91" s="9" t="s">
        <v>241</v>
      </c>
      <c r="H91" s="415" t="str">
        <f>IF(VLOOKUP(GAS!N91,'GAS ASCII'!$B$2:$C$200,2)&gt;=500000,VLOOKUP(GAS!N91,'GAS ASCII'!$B$2:$C$200,2)/1000000,IF(VLOOKUP(GAS!N91,'GAS ASCII'!$B$2:$C$200,2)&lt;=0,"……………….","*"))</f>
        <v>*</v>
      </c>
      <c r="I91" s="21"/>
      <c r="J91" s="415" t="str">
        <f>IF(VLOOKUP(GAS!N91,'GAS ASCII'!$B$2:$D$200,3)&gt;=500000,VLOOKUP(GAS!N91,'GAS ASCII'!$B$2:$D$200,3)/-1000000,IF(VLOOKUP(GAS!N91,'GAS ASCII'!$B$2:$D$200,3)&lt;=0,"……………….","*"))</f>
        <v>……………….</v>
      </c>
      <c r="K91" s="27"/>
      <c r="L91" s="415" t="str">
        <f>IF(VLOOKUP(GAS!N91,'GAS ASCII'!$B$2:$E$200,4)&gt;=500000,VLOOKUP(GAS!N91,'GAS ASCII'!$B$2:$E$200,4)/1000000,IF(VLOOKUP(GAS!N91,'GAS ASCII'!$B$2:$E$200,4)&lt;=0,"……………….","*"))</f>
        <v>*</v>
      </c>
      <c r="M91" s="21"/>
      <c r="N91" t="s">
        <v>101</v>
      </c>
      <c r="O91" s="288"/>
    </row>
    <row r="92" spans="3:15" ht="15.75" customHeight="1">
      <c r="C92" s="9" t="s">
        <v>675</v>
      </c>
      <c r="H92" s="415">
        <f>IF(VLOOKUP(GAS!N92,'GAS ASCII'!$B$2:$C$200,2)&gt;=500000,VLOOKUP(GAS!N92,'GAS ASCII'!$B$2:$C$200,2)/1000000,IF(VLOOKUP(GAS!N92,'GAS ASCII'!$B$2:$C$200,2)&lt;=0,"……………….","*"))</f>
        <v>10537.75847059</v>
      </c>
      <c r="I92" s="21"/>
      <c r="J92" s="415" t="str">
        <f>IF(VLOOKUP(GAS!N92,'GAS ASCII'!$B$2:$D$200,3)&gt;=500000,VLOOKUP(GAS!N92,'GAS ASCII'!$B$2:$D$200,3)/-1000000,IF(VLOOKUP(GAS!N92,'GAS ASCII'!$B$2:$D$200,3)&lt;=0,"……………….","*"))</f>
        <v>……………….</v>
      </c>
      <c r="K92" s="27"/>
      <c r="L92" s="415">
        <f>IF(VLOOKUP(GAS!N92,'GAS ASCII'!$B$2:$E$200,4)&gt;=500000,VLOOKUP(GAS!N92,'GAS ASCII'!$B$2:$E$200,4)/1000000,IF(VLOOKUP(GAS!N92,'GAS ASCII'!$B$2:$E$200,4)&lt;=0,"……………….","*"))</f>
        <v>10537.75847059</v>
      </c>
      <c r="M92" s="21"/>
      <c r="N92" t="s">
        <v>103</v>
      </c>
      <c r="O92" s="288"/>
    </row>
    <row r="93" spans="3:15" ht="15.75" customHeight="1">
      <c r="C93" s="9" t="s">
        <v>173</v>
      </c>
      <c r="H93" s="415">
        <f>IF(VLOOKUP(GAS!N93,'GAS ASCII'!$B$2:$C$200,2)&gt;=500000,VLOOKUP(GAS!N93,'GAS ASCII'!$B$2:$C$200,2)/1000000,IF(VLOOKUP(GAS!N93,'GAS ASCII'!$B$2:$C$200,2)&lt;=0,"……………….","*"))</f>
        <v>155.418</v>
      </c>
      <c r="I93" s="21"/>
      <c r="J93" s="415">
        <f>IF(VLOOKUP(GAS!N93,'GAS ASCII'!$B$2:$D$200,3)&gt;=500000,VLOOKUP(GAS!N93,'GAS ASCII'!$B$2:$D$200,3)/-1000000,IF(VLOOKUP(GAS!N93,'GAS ASCII'!$B$2:$D$200,3)&lt;=0,"……………….","*"))</f>
        <v>-12.669</v>
      </c>
      <c r="K93" s="27"/>
      <c r="L93" s="415">
        <f>IF(VLOOKUP(GAS!N93,'GAS ASCII'!$B$2:$E$200,4)&gt;=500000,VLOOKUP(GAS!N93,'GAS ASCII'!$B$2:$E$200,4)/1000000,IF(VLOOKUP(GAS!N93,'GAS ASCII'!$B$2:$E$200,4)&lt;=0,"……………….","*"))</f>
        <v>142.749</v>
      </c>
      <c r="M93" s="21"/>
      <c r="N93" t="s">
        <v>105</v>
      </c>
      <c r="O93" s="288"/>
    </row>
    <row r="94" spans="3:15" ht="15.75" customHeight="1">
      <c r="C94" t="s">
        <v>947</v>
      </c>
      <c r="H94" s="415"/>
      <c r="I94" s="21"/>
      <c r="J94" s="415"/>
      <c r="K94" s="27"/>
      <c r="L94" s="415"/>
      <c r="M94" s="21"/>
      <c r="O94" s="288"/>
    </row>
    <row r="95" spans="3:15" ht="16.5" customHeight="1">
      <c r="C95" s="9" t="s">
        <v>948</v>
      </c>
      <c r="H95" s="415">
        <f>IF(VLOOKUP(GAS!N95,'GAS ASCII'!$B$2:$C$200,2)&gt;=500000,VLOOKUP(GAS!N95,'GAS ASCII'!$B$2:$C$200,2)/1000000,IF(VLOOKUP(GAS!N95,'GAS ASCII'!$B$2:$C$200,2)&lt;=0,"……………….","*"))</f>
        <v>33.142</v>
      </c>
      <c r="J95" s="415" t="str">
        <f>IF(VLOOKUP(GAS!N95,'GAS ASCII'!$B$2:$D$200,3)&gt;=500000,VLOOKUP(GAS!N95,'GAS ASCII'!$B$2:$D$200,3)/-1000000,IF(VLOOKUP(GAS!N95,'GAS ASCII'!$B$2:$D$200,3)&lt;=0,"……………….","*"))</f>
        <v>……………….</v>
      </c>
      <c r="K95" s="27"/>
      <c r="L95" s="415">
        <f>IF(VLOOKUP(GAS!N95,'GAS ASCII'!$B$2:$E$200,4)&gt;=500000,VLOOKUP(GAS!N95,'GAS ASCII'!$B$2:$E$200,4)/1000000,IF(VLOOKUP(GAS!N95,'GAS ASCII'!$B$2:$E$200,4)&lt;=0,"……………….","*"))</f>
        <v>33.142</v>
      </c>
      <c r="M95" s="21"/>
      <c r="N95" t="s">
        <v>107</v>
      </c>
      <c r="O95" s="288"/>
    </row>
    <row r="96" spans="1:15" ht="15.75" customHeight="1" thickBot="1">
      <c r="A96" s="416"/>
      <c r="B96" s="416"/>
      <c r="C96" s="417"/>
      <c r="D96" s="418"/>
      <c r="E96" s="419"/>
      <c r="F96" s="419"/>
      <c r="G96" s="419"/>
      <c r="H96" s="419"/>
      <c r="I96" s="420"/>
      <c r="J96" s="419"/>
      <c r="K96" s="419"/>
      <c r="L96" s="419"/>
      <c r="M96" s="421"/>
      <c r="O96" s="288"/>
    </row>
    <row r="97" spans="1:13" ht="16.5" customHeight="1" thickTop="1">
      <c r="A97" s="98">
        <v>8</v>
      </c>
      <c r="B97" s="2" t="str">
        <f>(Marketable!B86)</f>
        <v>TABLE III - DETAIL OF TREASURY SECURITIES OUTSTANDING, JANUARY 31, 2004 -- Continued</v>
      </c>
      <c r="C97" s="2"/>
      <c r="D97" s="2"/>
      <c r="E97" s="3"/>
      <c r="F97" s="3"/>
      <c r="G97" s="3"/>
      <c r="H97" s="3"/>
      <c r="I97" s="29"/>
      <c r="J97" s="3"/>
      <c r="K97" s="3"/>
      <c r="L97" s="3"/>
      <c r="M97" s="2"/>
    </row>
    <row r="98" spans="1:13" ht="10.5" customHeight="1" thickBot="1">
      <c r="A98" s="59"/>
      <c r="B98" s="59"/>
      <c r="C98" s="7"/>
      <c r="D98" s="2"/>
      <c r="E98" s="3"/>
      <c r="F98" s="3"/>
      <c r="G98" s="3"/>
      <c r="H98" s="3"/>
      <c r="I98" s="29"/>
      <c r="J98" s="3"/>
      <c r="K98" s="3"/>
      <c r="L98" s="3"/>
      <c r="M98" s="2"/>
    </row>
    <row r="99" spans="1:13" ht="15.75" customHeight="1" thickTop="1">
      <c r="A99" s="32"/>
      <c r="B99" s="32"/>
      <c r="C99" s="32"/>
      <c r="D99" s="32"/>
      <c r="E99" s="32"/>
      <c r="F99" s="32"/>
      <c r="G99" s="32"/>
      <c r="H99" s="26"/>
      <c r="I99" s="32"/>
      <c r="J99" s="32"/>
      <c r="K99" s="32"/>
      <c r="L99" s="32"/>
      <c r="M99" s="32"/>
    </row>
    <row r="100" spans="8:13" ht="15.75" customHeight="1">
      <c r="H100" s="16" t="s">
        <v>451</v>
      </c>
      <c r="I100" s="3"/>
      <c r="J100" s="3"/>
      <c r="K100" s="3"/>
      <c r="L100" s="3"/>
      <c r="M100" s="3"/>
    </row>
    <row r="101" spans="1:13" ht="15.75" customHeight="1">
      <c r="A101" s="3" t="s">
        <v>452</v>
      </c>
      <c r="B101" s="3"/>
      <c r="C101" s="3"/>
      <c r="D101" s="3"/>
      <c r="E101" s="3"/>
      <c r="F101" s="3"/>
      <c r="G101" s="3"/>
      <c r="H101" s="16" t="s">
        <v>13</v>
      </c>
      <c r="I101" s="3"/>
      <c r="J101" s="3"/>
      <c r="K101" s="3"/>
      <c r="L101" s="3"/>
      <c r="M101" s="3"/>
    </row>
    <row r="102" spans="1:13" ht="16.5" customHeight="1">
      <c r="A102" s="15"/>
      <c r="B102" s="15"/>
      <c r="C102" s="15"/>
      <c r="D102" s="15"/>
      <c r="E102" s="15"/>
      <c r="F102" s="15"/>
      <c r="G102" s="15"/>
      <c r="H102" s="37" t="s">
        <v>456</v>
      </c>
      <c r="I102" s="38"/>
      <c r="J102" s="37" t="s">
        <v>923</v>
      </c>
      <c r="K102" s="38"/>
      <c r="L102" s="37" t="s">
        <v>16</v>
      </c>
      <c r="M102" s="38"/>
    </row>
    <row r="103" spans="8:12" ht="15.75" customHeight="1">
      <c r="H103" s="14"/>
      <c r="J103" s="14"/>
      <c r="L103" s="14"/>
    </row>
    <row r="104" spans="2:12" ht="18" customHeight="1">
      <c r="B104" s="7" t="s">
        <v>806</v>
      </c>
      <c r="E104" s="43"/>
      <c r="H104" s="14"/>
      <c r="J104" s="14"/>
      <c r="L104" s="14"/>
    </row>
    <row r="105" spans="2:15" ht="18" customHeight="1">
      <c r="B105" s="78" t="s">
        <v>261</v>
      </c>
      <c r="E105" s="43"/>
      <c r="H105" s="14"/>
      <c r="J105" s="14"/>
      <c r="L105" s="14"/>
      <c r="O105" s="288"/>
    </row>
    <row r="106" spans="3:15" ht="18" customHeight="1">
      <c r="C106" s="9" t="s">
        <v>676</v>
      </c>
      <c r="H106" s="415"/>
      <c r="I106" s="21"/>
      <c r="J106" s="415"/>
      <c r="K106" s="21"/>
      <c r="L106" s="415"/>
      <c r="M106" s="21"/>
      <c r="O106" s="288"/>
    </row>
    <row r="107" spans="3:15" ht="18" customHeight="1">
      <c r="C107" s="9" t="s">
        <v>704</v>
      </c>
      <c r="H107" s="415">
        <f>IF(VLOOKUP(GAS!N107,'GAS ASCII'!$B$2:$C$200,2)&gt;=500000,VLOOKUP(GAS!N107,'GAS ASCII'!$B$2:$C$200,2)/1000000,IF(VLOOKUP(GAS!N107,'GAS ASCII'!$B$2:$C$200,2)&lt;=0,"……………….","*"))</f>
        <v>1947.865</v>
      </c>
      <c r="I107" s="21"/>
      <c r="J107" s="415" t="str">
        <f>IF(VLOOKUP(GAS!N107,'GAS ASCII'!$B$2:$D$200,3)&gt;=500000,VLOOKUP(GAS!N107,'GAS ASCII'!$B$2:$D$200,3)/-1000000,IF(VLOOKUP(GAS!N107,'GAS ASCII'!$B$2:$D$200,3)&lt;=0,"……………….","*"))</f>
        <v>……………….</v>
      </c>
      <c r="K107" s="27"/>
      <c r="L107" s="415">
        <f>IF(VLOOKUP(GAS!N107,'GAS ASCII'!$B$2:$E$200,4)&gt;=500000,VLOOKUP(GAS!N107,'GAS ASCII'!$B$2:$E$200,4)/1000000,IF(VLOOKUP(GAS!N107,'GAS ASCII'!$B$2:$E$200,4)&lt;=0,"……………….","*"))</f>
        <v>1947.865</v>
      </c>
      <c r="M107" s="21"/>
      <c r="N107" t="s">
        <v>458</v>
      </c>
      <c r="O107" s="288"/>
    </row>
    <row r="108" spans="3:15" ht="18" customHeight="1">
      <c r="C108" s="9" t="s">
        <v>677</v>
      </c>
      <c r="H108" s="415">
        <f>IF(VLOOKUP(GAS!N108,'GAS ASCII'!$B$2:$C$200,2)&gt;=500000,VLOOKUP(GAS!N108,'GAS ASCII'!$B$2:$C$200,2)/1000000,IF(VLOOKUP(GAS!N108,'GAS ASCII'!$B$2:$C$200,2)&lt;=0,"……………….","*"))</f>
        <v>467.661</v>
      </c>
      <c r="I108" s="21"/>
      <c r="J108" s="415">
        <f>IF(VLOOKUP(GAS!N108,'GAS ASCII'!$B$2:$D$200,3)&gt;=500000,VLOOKUP(GAS!N108,'GAS ASCII'!$B$2:$D$200,3)/-1000000,IF(VLOOKUP(GAS!N108,'GAS ASCII'!$B$2:$D$200,3)&lt;=0,"……………….","*"))</f>
        <v>-6</v>
      </c>
      <c r="K108" s="27"/>
      <c r="L108" s="415">
        <f>IF(VLOOKUP(GAS!N108,'GAS ASCII'!$B$2:$E$200,4)&gt;=500000,VLOOKUP(GAS!N108,'GAS ASCII'!$B$2:$E$200,4)/1000000,IF(VLOOKUP(GAS!N108,'GAS ASCII'!$B$2:$E$200,4)&lt;=0,"……………….","*"))</f>
        <v>461.661</v>
      </c>
      <c r="M108" s="21"/>
      <c r="N108" t="s">
        <v>460</v>
      </c>
      <c r="O108" s="288"/>
    </row>
    <row r="109" spans="3:15" ht="15.75" customHeight="1">
      <c r="C109" s="9" t="s">
        <v>678</v>
      </c>
      <c r="H109" s="415">
        <f>IF(VLOOKUP(GAS!N109,'GAS ASCII'!$B$2:$C$200,2)&gt;=500000,VLOOKUP(GAS!N109,'GAS ASCII'!$B$2:$C$200,2)/1000000,IF(VLOOKUP(GAS!N109,'GAS ASCII'!$B$2:$C$200,2)&lt;=0,"……………….","*"))</f>
        <v>203408.583</v>
      </c>
      <c r="I109" s="21"/>
      <c r="J109" s="415">
        <f>IF(VLOOKUP(GAS!N109,'GAS ASCII'!$B$2:$D$200,3)&gt;=500000,VLOOKUP(GAS!N109,'GAS ASCII'!$B$2:$D$200,3)/-1000000,IF(VLOOKUP(GAS!N109,'GAS ASCII'!$B$2:$D$200,3)&lt;=0,"……………….","*"))</f>
        <v>-26557.888</v>
      </c>
      <c r="K109" s="27"/>
      <c r="L109" s="415">
        <f>IF(VLOOKUP(GAS!N109,'GAS ASCII'!$B$2:$E$200,4)&gt;=500000,VLOOKUP(GAS!N109,'GAS ASCII'!$B$2:$E$200,4)/1000000,IF(VLOOKUP(GAS!N109,'GAS ASCII'!$B$2:$E$200,4)&lt;=0,"……………….","*"))</f>
        <v>176850.695</v>
      </c>
      <c r="M109" s="21"/>
      <c r="N109" t="s">
        <v>462</v>
      </c>
      <c r="O109" s="288"/>
    </row>
    <row r="110" spans="3:15" ht="15.75" customHeight="1">
      <c r="C110" s="9" t="s">
        <v>1112</v>
      </c>
      <c r="H110" s="415">
        <f>IF(VLOOKUP(GAS!N110,'GAS ASCII'!$B$2:$C$200,2)&gt;=500000,VLOOKUP(GAS!N110,'GAS ASCII'!$B$2:$C$200,2)/1000000,IF(VLOOKUP(GAS!N110,'GAS ASCII'!$B$2:$C$200,2)&lt;=0,"……………….","*"))</f>
        <v>303197.651</v>
      </c>
      <c r="I110" s="21"/>
      <c r="J110" s="415">
        <f>IF(VLOOKUP(GAS!N110,'GAS ASCII'!$B$2:$D$200,3)&gt;=500000,VLOOKUP(GAS!N110,'GAS ASCII'!$B$2:$D$200,3)/-1000000,IF(VLOOKUP(GAS!N110,'GAS ASCII'!$B$2:$D$200,3)&lt;=0,"……………….","*"))</f>
        <v>-44004.109</v>
      </c>
      <c r="K110" s="27"/>
      <c r="L110" s="415">
        <f>IF(VLOOKUP(GAS!N110,'GAS ASCII'!$B$2:$E$200,4)&gt;=500000,VLOOKUP(GAS!N110,'GAS ASCII'!$B$2:$E$200,4)/1000000,IF(VLOOKUP(GAS!N110,'GAS ASCII'!$B$2:$E$200,4)&lt;=0,"……………….","*"))</f>
        <v>259193.542</v>
      </c>
      <c r="M110" s="21"/>
      <c r="N110" t="s">
        <v>464</v>
      </c>
      <c r="O110" s="288"/>
    </row>
    <row r="111" spans="3:15" ht="15.75" customHeight="1">
      <c r="C111" s="9" t="s">
        <v>1113</v>
      </c>
      <c r="H111" s="415"/>
      <c r="I111" s="21"/>
      <c r="J111" s="415"/>
      <c r="K111" s="21"/>
      <c r="L111" s="415"/>
      <c r="M111" s="21"/>
      <c r="O111" s="288"/>
    </row>
    <row r="112" spans="3:15" ht="15.75" customHeight="1">
      <c r="C112" s="9" t="s">
        <v>666</v>
      </c>
      <c r="H112" s="415">
        <f>IF(VLOOKUP(GAS!N112,'GAS ASCII'!$B$2:$C$200,2)&gt;=500000,VLOOKUP(GAS!N112,'GAS ASCII'!$B$2:$C$200,2)/1000000,IF(VLOOKUP(GAS!N112,'GAS ASCII'!$B$2:$C$200,2)&lt;=0,"……………….","*"))</f>
        <v>4.391</v>
      </c>
      <c r="I112" s="21"/>
      <c r="J112" s="415" t="str">
        <f>IF(VLOOKUP(GAS!N112,'GAS ASCII'!$B$2:$D$200,3)&gt;=500000,VLOOKUP(GAS!N112,'GAS ASCII'!$B$2:$D$200,3)/-1000000,IF(VLOOKUP(GAS!N112,'GAS ASCII'!$B$2:$D$200,3)&lt;=0,"……………….","*"))</f>
        <v>……………….</v>
      </c>
      <c r="K112" s="27"/>
      <c r="L112" s="415">
        <f>IF(VLOOKUP(GAS!N112,'GAS ASCII'!$B$2:$E$200,4)&gt;=500000,VLOOKUP(GAS!N112,'GAS ASCII'!$B$2:$E$200,4)/1000000,IF(VLOOKUP(GAS!N112,'GAS ASCII'!$B$2:$E$200,4)&lt;=0,"……………….","*"))</f>
        <v>4.391</v>
      </c>
      <c r="M112" s="21"/>
      <c r="N112" t="s">
        <v>466</v>
      </c>
      <c r="O112" s="288"/>
    </row>
    <row r="113" spans="3:15" ht="15.75" customHeight="1">
      <c r="C113" s="9" t="s">
        <v>185</v>
      </c>
      <c r="H113" s="415">
        <f>IF(VLOOKUP(GAS!N113,'GAS ASCII'!$B$2:$C$200,2)&gt;=500000,VLOOKUP(GAS!N113,'GAS ASCII'!$B$2:$C$200,2)/1000000,IF(VLOOKUP(GAS!N113,'GAS ASCII'!$B$2:$C$200,2)&lt;=0,"……………….","*"))</f>
        <v>26295.721</v>
      </c>
      <c r="I113" s="21"/>
      <c r="J113" s="415" t="str">
        <f>IF(VLOOKUP(GAS!N113,'GAS ASCII'!$B$2:$D$200,3)&gt;=500000,VLOOKUP(GAS!N113,'GAS ASCII'!$B$2:$D$200,3)/-1000000,IF(VLOOKUP(GAS!N113,'GAS ASCII'!$B$2:$D$200,3)&lt;=0,"……………….","*"))</f>
        <v>……………….</v>
      </c>
      <c r="K113" s="27"/>
      <c r="L113" s="415">
        <f>IF(VLOOKUP(GAS!N113,'GAS ASCII'!$B$2:$E$200,4)&gt;=500000,VLOOKUP(GAS!N113,'GAS ASCII'!$B$2:$E$200,4)/1000000,IF(VLOOKUP(GAS!N113,'GAS ASCII'!$B$2:$E$200,4)&lt;=0,"……………….","*"))</f>
        <v>26295.721</v>
      </c>
      <c r="M113" s="21"/>
      <c r="N113" t="s">
        <v>468</v>
      </c>
      <c r="O113" s="288"/>
    </row>
    <row r="114" spans="3:15" ht="15.75" customHeight="1">
      <c r="C114" s="9" t="s">
        <v>920</v>
      </c>
      <c r="D114" s="9"/>
      <c r="H114" s="415">
        <f>IF(VLOOKUP(GAS!N114,'GAS ASCII'!$B$2:$C$200,2)&gt;=500000,VLOOKUP(GAS!N114,'GAS ASCII'!$B$2:$C$200,2)/1000000,IF(VLOOKUP(GAS!N114,'GAS ASCII'!$B$2:$C$200,2)&lt;=0,"……………….","*"))</f>
        <v>1510141.432</v>
      </c>
      <c r="I114" s="21"/>
      <c r="J114" s="415">
        <f>IF(VLOOKUP(GAS!N114,'GAS ASCII'!$B$2:$D$200,3)&gt;=500000,VLOOKUP(GAS!N114,'GAS ASCII'!$B$2:$D$200,3)/-1000000,IF(VLOOKUP(GAS!N114,'GAS ASCII'!$B$2:$D$200,3)&lt;=0,"……………….","*"))</f>
        <v>-140502.701</v>
      </c>
      <c r="K114" s="27"/>
      <c r="L114" s="415">
        <f>IF(VLOOKUP(GAS!N114,'GAS ASCII'!$B$2:$E$200,4)&gt;=500000,VLOOKUP(GAS!N114,'GAS ASCII'!$B$2:$E$200,4)/1000000,IF(VLOOKUP(GAS!N114,'GAS ASCII'!$B$2:$E$200,4)&lt;=0,"……………….","*"))</f>
        <v>1369638.731</v>
      </c>
      <c r="M114" s="21"/>
      <c r="N114" t="s">
        <v>470</v>
      </c>
      <c r="O114" s="288"/>
    </row>
    <row r="115" spans="3:15" ht="15.75" customHeight="1">
      <c r="C115" s="9" t="s">
        <v>705</v>
      </c>
      <c r="E115" s="43"/>
      <c r="H115" s="415">
        <f>IF(VLOOKUP(GAS!N115,'GAS ASCII'!$B$2:$C$200,2)&gt;=500000,VLOOKUP(GAS!N115,'GAS ASCII'!$B$2:$C$200,2)/1000000,IF(VLOOKUP(GAS!N115,'GAS ASCII'!$B$2:$C$200,2)&lt;=0,"……………….","*"))</f>
        <v>1665.16</v>
      </c>
      <c r="I115" s="21"/>
      <c r="J115" s="415" t="str">
        <f>IF(VLOOKUP(GAS!N115,'GAS ASCII'!$B$2:$D$200,3)&gt;=500000,VLOOKUP(GAS!N115,'GAS ASCII'!$B$2:$D$200,3)/-1000000,IF(VLOOKUP(GAS!N115,'GAS ASCII'!$B$2:$D$200,3)&lt;=0,"……………….","*"))</f>
        <v>……………….</v>
      </c>
      <c r="K115" s="27"/>
      <c r="L115" s="415">
        <f>IF(VLOOKUP(GAS!N115,'GAS ASCII'!$B$2:$E$200,4)&gt;=500000,VLOOKUP(GAS!N115,'GAS ASCII'!$B$2:$E$200,4)/1000000,IF(VLOOKUP(GAS!N115,'GAS ASCII'!$B$2:$E$200,4)&lt;=0,"……………….","*"))</f>
        <v>1665.16</v>
      </c>
      <c r="M115" s="21"/>
      <c r="N115" t="s">
        <v>472</v>
      </c>
      <c r="O115" s="288"/>
    </row>
    <row r="116" spans="3:15" ht="15.75" customHeight="1">
      <c r="C116" s="9" t="s">
        <v>1118</v>
      </c>
      <c r="H116" s="415">
        <f>IF(VLOOKUP(GAS!N116,'GAS ASCII'!$B$2:$C$200,2)&gt;=500000,VLOOKUP(GAS!N116,'GAS ASCII'!$B$2:$C$200,2)/1000000,IF(VLOOKUP(GAS!N116,'GAS ASCII'!$B$2:$C$200,2)&lt;=0,"……………….","*"))</f>
        <v>48222.989</v>
      </c>
      <c r="I116" s="21"/>
      <c r="J116" s="415">
        <f>IF(VLOOKUP(GAS!N116,'GAS ASCII'!$B$2:$D$200,3)&gt;=500000,VLOOKUP(GAS!N116,'GAS ASCII'!$B$2:$D$200,3)/-1000000,IF(VLOOKUP(GAS!N116,'GAS ASCII'!$B$2:$D$200,3)&lt;=0,"……………….","*"))</f>
        <v>-23297.804</v>
      </c>
      <c r="K116" s="21"/>
      <c r="L116" s="415">
        <f>IF(VLOOKUP(GAS!N116,'GAS ASCII'!$B$2:$E$200,4)&gt;=500000,VLOOKUP(GAS!N116,'GAS ASCII'!$B$2:$E$200,4)/1000000,IF(VLOOKUP(GAS!N116,'GAS ASCII'!$B$2:$E$200,4)&lt;=0,"……………….","*"))</f>
        <v>24925.185</v>
      </c>
      <c r="M116" s="21"/>
      <c r="N116" t="s">
        <v>474</v>
      </c>
      <c r="O116" s="288"/>
    </row>
    <row r="117" spans="3:15" ht="15.75" customHeight="1">
      <c r="C117" s="9" t="s">
        <v>148</v>
      </c>
      <c r="H117" s="415">
        <f>IF(VLOOKUP(GAS!N117,'GAS ASCII'!$B$2:$C$200,2)&gt;=500000,VLOOKUP(GAS!N117,'GAS ASCII'!$B$2:$C$200,2)/1000000,IF(VLOOKUP(GAS!N117,'GAS ASCII'!$B$2:$C$200,2)&lt;=0,"……………….","*"))</f>
        <v>1.201</v>
      </c>
      <c r="I117" s="21"/>
      <c r="J117" s="415" t="str">
        <f>IF(VLOOKUP(GAS!N117,'GAS ASCII'!$B$2:$D$200,3)&gt;=500000,VLOOKUP(GAS!N117,'GAS ASCII'!$B$2:$D$200,3)/-1000000,IF(VLOOKUP(GAS!N117,'GAS ASCII'!$B$2:$D$200,3)&lt;=0,"……………….","*"))</f>
        <v>……………….</v>
      </c>
      <c r="K117" s="21"/>
      <c r="L117" s="415">
        <f>IF(VLOOKUP(GAS!N117,'GAS ASCII'!$B$2:$E$200,4)&gt;=500000,VLOOKUP(GAS!N117,'GAS ASCII'!$B$2:$E$200,4)/1000000,IF(VLOOKUP(GAS!N117,'GAS ASCII'!$B$2:$E$200,4)&lt;=0,"……………….","*"))</f>
        <v>1.201</v>
      </c>
      <c r="M117" s="21"/>
      <c r="N117" t="s">
        <v>143</v>
      </c>
      <c r="O117" s="288"/>
    </row>
    <row r="118" spans="3:15" ht="15.75" customHeight="1">
      <c r="C118" s="9" t="s">
        <v>149</v>
      </c>
      <c r="H118" s="415">
        <f>IF(VLOOKUP(GAS!N118,'GAS ASCII'!$B$2:$C$200,2)&gt;=500000,VLOOKUP(GAS!N118,'GAS ASCII'!$B$2:$C$200,2)/1000000,IF(VLOOKUP(GAS!N118,'GAS ASCII'!$B$2:$C$200,2)&lt;=0,"……………….","*"))</f>
        <v>1.6</v>
      </c>
      <c r="I118" s="21"/>
      <c r="J118" s="415" t="str">
        <f>IF(VLOOKUP(GAS!N118,'GAS ASCII'!$B$2:$D$200,3)&gt;=500000,VLOOKUP(GAS!N118,'GAS ASCII'!$B$2:$D$200,3)/-1000000,IF(VLOOKUP(GAS!N118,'GAS ASCII'!$B$2:$D$200,3)&lt;=0,"……………….","*"))</f>
        <v>……………….</v>
      </c>
      <c r="K118" s="21"/>
      <c r="L118" s="415">
        <f>IF(VLOOKUP(GAS!N118,'GAS ASCII'!$B$2:$E$200,4)&gt;=500000,VLOOKUP(GAS!N118,'GAS ASCII'!$B$2:$E$200,4)/1000000,IF(VLOOKUP(GAS!N118,'GAS ASCII'!$B$2:$E$200,4)&lt;=0,"……………….","*"))</f>
        <v>1.6</v>
      </c>
      <c r="M118" s="21"/>
      <c r="N118" t="s">
        <v>145</v>
      </c>
      <c r="O118" s="288"/>
    </row>
    <row r="119" spans="3:15" ht="15.75" customHeight="1">
      <c r="C119" s="9" t="s">
        <v>1120</v>
      </c>
      <c r="H119" s="415">
        <f>IF(VLOOKUP(GAS!N119,'GAS ASCII'!$B$2:$C$200,2)&gt;=500000,VLOOKUP(GAS!N119,'GAS ASCII'!$B$2:$C$200,2)/1000000,IF(VLOOKUP(GAS!N119,'GAS ASCII'!$B$2:$C$200,2)&lt;=0,"……………….","*"))</f>
        <v>12673.308</v>
      </c>
      <c r="I119" s="21"/>
      <c r="J119" s="415">
        <f>IF(VLOOKUP(GAS!N119,'GAS ASCII'!$B$2:$D$200,3)&gt;=500000,VLOOKUP(GAS!N119,'GAS ASCII'!$B$2:$D$200,3)/-1000000,IF(VLOOKUP(GAS!N119,'GAS ASCII'!$B$2:$D$200,3)&lt;=0,"……………….","*"))</f>
        <v>-108.651</v>
      </c>
      <c r="K119" s="188"/>
      <c r="L119" s="415">
        <f>IF(VLOOKUP(GAS!N119,'GAS ASCII'!$B$2:$E$200,4)&gt;=500000,VLOOKUP(GAS!N119,'GAS ASCII'!$B$2:$E$200,4)/1000000,IF(VLOOKUP(GAS!N119,'GAS ASCII'!$B$2:$E$200,4)&lt;=0,"……………….","*"))</f>
        <v>12564.657</v>
      </c>
      <c r="M119" s="21"/>
      <c r="N119" t="s">
        <v>476</v>
      </c>
      <c r="O119" s="288"/>
    </row>
    <row r="120" spans="3:15" ht="15.75" customHeight="1">
      <c r="C120" s="9" t="s">
        <v>706</v>
      </c>
      <c r="H120" s="415">
        <f>IF(VLOOKUP(GAS!N120,'GAS ASCII'!$B$2:$C$200,2)&gt;=500000,VLOOKUP(GAS!N120,'GAS ASCII'!$B$2:$C$200,2)/1000000,IF(VLOOKUP(GAS!N120,'GAS ASCII'!$B$2:$C$200,2)&lt;=0,"……………….","*"))</f>
        <v>2952.806</v>
      </c>
      <c r="I120" s="21"/>
      <c r="J120" s="415" t="str">
        <f>IF(VLOOKUP(GAS!N120,'GAS ASCII'!$B$2:$D$200,3)&gt;=500000,VLOOKUP(GAS!N120,'GAS ASCII'!$B$2:$D$200,3)/-1000000,IF(VLOOKUP(GAS!N120,'GAS ASCII'!$B$2:$D$200,3)&lt;=0,"……………….","*"))</f>
        <v>……………….</v>
      </c>
      <c r="K120" s="27"/>
      <c r="L120" s="415">
        <f>IF(VLOOKUP(GAS!N120,'GAS ASCII'!$B$2:$E$200,4)&gt;=500000,VLOOKUP(GAS!N120,'GAS ASCII'!$B$2:$E$200,4)/1000000,IF(VLOOKUP(GAS!N120,'GAS ASCII'!$B$2:$E$200,4)&lt;=0,"……………….","*"))</f>
        <v>2952.806</v>
      </c>
      <c r="M120" s="21"/>
      <c r="N120" t="s">
        <v>478</v>
      </c>
      <c r="O120" s="288"/>
    </row>
    <row r="121" spans="3:15" ht="15.75" customHeight="1">
      <c r="C121" s="9"/>
      <c r="H121" s="415"/>
      <c r="I121" s="21"/>
      <c r="J121" s="415"/>
      <c r="K121" s="27"/>
      <c r="L121" s="415"/>
      <c r="M121" s="21"/>
      <c r="O121" s="288"/>
    </row>
    <row r="122" spans="3:15" ht="15.75" customHeight="1">
      <c r="C122" s="9" t="s">
        <v>1123</v>
      </c>
      <c r="H122" s="415">
        <f>IF(VLOOKUP(GAS!N122,'GAS ASCII'!$B$2:$C$200,2)&gt;=500000,VLOOKUP(GAS!N122,'GAS ASCII'!$B$2:$C$200,2)/1000000,IF(VLOOKUP(GAS!N122,'GAS ASCII'!$B$2:$C$200,2)&lt;=0,"……………….","*"))</f>
        <v>61.375</v>
      </c>
      <c r="I122" s="21"/>
      <c r="J122" s="415" t="str">
        <f>IF(VLOOKUP(GAS!N122,'GAS ASCII'!$B$2:$D$200,3)&gt;=500000,VLOOKUP(GAS!N122,'GAS ASCII'!$B$2:$D$200,3)/-1000000,IF(VLOOKUP(GAS!N122,'GAS ASCII'!$B$2:$D$200,3)&lt;=0,"……………….","*"))</f>
        <v>……………….</v>
      </c>
      <c r="K122" s="27"/>
      <c r="L122" s="415">
        <f>IF(VLOOKUP(GAS!N122,'GAS ASCII'!$B$2:$E$200,4)&gt;=500000,VLOOKUP(GAS!N122,'GAS ASCII'!$B$2:$E$200,4)/1000000,IF(VLOOKUP(GAS!N122,'GAS ASCII'!$B$2:$E$200,4)&lt;=0,"……………….","*"))</f>
        <v>61.375</v>
      </c>
      <c r="M122" s="21"/>
      <c r="N122" t="s">
        <v>480</v>
      </c>
      <c r="O122" s="288"/>
    </row>
    <row r="123" spans="3:15" ht="15.75" customHeight="1">
      <c r="C123" s="9" t="s">
        <v>1116</v>
      </c>
      <c r="H123" s="415">
        <f>IF(VLOOKUP(GAS!N123,'GAS ASCII'!$B$2:$C$200,2)&gt;=500000,VLOOKUP(GAS!N123,'GAS ASCII'!$B$2:$C$200,2)/1000000,IF(VLOOKUP(GAS!N123,'GAS ASCII'!$B$2:$C$200,2)&lt;=0,"……………….","*"))</f>
        <v>4.595</v>
      </c>
      <c r="I123" s="21"/>
      <c r="J123" s="415" t="str">
        <f>IF(VLOOKUP(GAS!N123,'GAS ASCII'!$B$2:$D$200,3)&gt;=500000,VLOOKUP(GAS!N123,'GAS ASCII'!$B$2:$D$200,3)/-1000000,IF(VLOOKUP(GAS!N123,'GAS ASCII'!$B$2:$D$200,3)&lt;=0,"……………….","*"))</f>
        <v>……………….</v>
      </c>
      <c r="K123" s="27"/>
      <c r="L123" s="415">
        <f>IF(VLOOKUP(GAS!N123,'GAS ASCII'!$B$2:$E$200,4)&gt;=500000,VLOOKUP(GAS!N123,'GAS ASCII'!$B$2:$E$200,4)/1000000,IF(VLOOKUP(GAS!N123,'GAS ASCII'!$B$2:$E$200,4)&lt;=0,"……………….","*"))</f>
        <v>4.595</v>
      </c>
      <c r="M123" s="21"/>
      <c r="N123" t="s">
        <v>482</v>
      </c>
      <c r="O123" s="288"/>
    </row>
    <row r="124" spans="3:15" ht="15" customHeight="1">
      <c r="C124" s="9" t="s">
        <v>238</v>
      </c>
      <c r="H124" s="415" t="str">
        <f>IF(VLOOKUP(GAS!N124,'GAS ASCII'!$B$2:$C$200,2)&gt;=500000,VLOOKUP(GAS!N124,'GAS ASCII'!$B$2:$C$200,2)/1000000,IF(VLOOKUP(GAS!N124,'GAS ASCII'!$B$2:$C$200,2)&lt;=0,"……………….","*"))</f>
        <v>*</v>
      </c>
      <c r="I124" s="21"/>
      <c r="J124" s="415" t="str">
        <f>IF(VLOOKUP(GAS!N124,'GAS ASCII'!$B$2:$D$200,3)&gt;=500000,VLOOKUP(GAS!N124,'GAS ASCII'!$B$2:$D$200,3)/-1000000,IF(VLOOKUP(GAS!N124,'GAS ASCII'!$B$2:$D$200,3)&lt;=0,"……………….","*"))</f>
        <v>……………….</v>
      </c>
      <c r="K124" s="27"/>
      <c r="L124" s="415" t="str">
        <f>IF(VLOOKUP(GAS!N124,'GAS ASCII'!$B$2:$E$200,4)&gt;=500000,VLOOKUP(GAS!N124,'GAS ASCII'!$B$2:$E$200,4)/1000000,IF(VLOOKUP(GAS!N124,'GAS ASCII'!$B$2:$E$200,4)&lt;=0,"……………….","*"))</f>
        <v>*</v>
      </c>
      <c r="M124" s="21"/>
      <c r="N124" t="s">
        <v>484</v>
      </c>
      <c r="O124" s="288"/>
    </row>
    <row r="125" spans="3:15" ht="15.75" customHeight="1">
      <c r="C125" s="9" t="s">
        <v>127</v>
      </c>
      <c r="H125" s="415">
        <f>IF(VLOOKUP(GAS!N125,'GAS ASCII'!$B$2:$C$200,2)&gt;=500000,VLOOKUP(GAS!N125,'GAS ASCII'!$B$2:$C$200,2)/1000000,IF(VLOOKUP(GAS!N125,'GAS ASCII'!$B$2:$C$200,2)&lt;=0,"……………….","*"))</f>
        <v>0.8078669599999999</v>
      </c>
      <c r="I125" s="21"/>
      <c r="J125" s="415" t="str">
        <f>IF(VLOOKUP(GAS!N125,'GAS ASCII'!$B$2:$D$200,3)&gt;=500000,VLOOKUP(GAS!N125,'GAS ASCII'!$B$2:$D$200,3)/-1000000,IF(VLOOKUP(GAS!N125,'GAS ASCII'!$B$2:$D$200,3)&lt;=0,"……………….","*"))</f>
        <v>……………….</v>
      </c>
      <c r="K125" s="3"/>
      <c r="L125" s="415">
        <f>IF(VLOOKUP(GAS!N125,'GAS ASCII'!$B$2:$E$200,4)&gt;=500000,VLOOKUP(GAS!N125,'GAS ASCII'!$B$2:$E$200,4)/1000000,IF(VLOOKUP(GAS!N125,'GAS ASCII'!$B$2:$E$200,4)&lt;=0,"……………….","*"))</f>
        <v>0.8078669599999999</v>
      </c>
      <c r="M125" s="21"/>
      <c r="N125" t="s">
        <v>486</v>
      </c>
      <c r="O125" s="288"/>
    </row>
    <row r="126" spans="3:15" ht="15.75" customHeight="1">
      <c r="C126" s="9" t="s">
        <v>490</v>
      </c>
      <c r="H126" s="415" t="str">
        <f>IF(VLOOKUP(GAS!N126,'GAS ASCII'!$B$2:$C$200,2)&gt;=500000,VLOOKUP(GAS!N126,'GAS ASCII'!$B$2:$C$200,2)/1000000,IF(VLOOKUP(GAS!N126,'GAS ASCII'!$B$2:$C$200,2)&lt;=0,"……………….","*"))</f>
        <v>*</v>
      </c>
      <c r="I126" s="21"/>
      <c r="J126" s="415" t="str">
        <f>IF(VLOOKUP(GAS!N126,'GAS ASCII'!$B$2:$D$200,3)&gt;=500000,VLOOKUP(GAS!N126,'GAS ASCII'!$B$2:$D$200,3)/-1000000,IF(VLOOKUP(GAS!N126,'GAS ASCII'!$B$2:$D$200,3)&lt;=0,"……………….","*"))</f>
        <v>……………….</v>
      </c>
      <c r="K126" s="27"/>
      <c r="L126" s="415" t="str">
        <f>IF(VLOOKUP(GAS!N126,'GAS ASCII'!$B$2:$E$200,4)&gt;=500000,VLOOKUP(GAS!N126,'GAS ASCII'!$B$2:$E$200,4)/1000000,IF(VLOOKUP(GAS!N126,'GAS ASCII'!$B$2:$E$200,4)&lt;=0,"……………….","*"))</f>
        <v>*</v>
      </c>
      <c r="M126" s="21"/>
      <c r="N126" t="s">
        <v>112</v>
      </c>
      <c r="O126" s="288"/>
    </row>
    <row r="127" spans="3:15" ht="15.75" customHeight="1">
      <c r="C127" s="9" t="s">
        <v>1124</v>
      </c>
      <c r="H127" s="415">
        <f>IF(VLOOKUP(GAS!N127,'GAS ASCII'!$B$2:$C$200,2)&gt;=500000,VLOOKUP(GAS!N127,'GAS ASCII'!$B$2:$C$200,2)/1000000,IF(VLOOKUP(GAS!N127,'GAS ASCII'!$B$2:$C$200,2)&lt;=0,"……………….","*"))</f>
        <v>0.781</v>
      </c>
      <c r="I127" s="21"/>
      <c r="J127" s="415" t="str">
        <f>IF(VLOOKUP(GAS!N127,'GAS ASCII'!$B$2:$D$200,3)&gt;=500000,VLOOKUP(GAS!N127,'GAS ASCII'!$B$2:$D$200,3)/-1000000,IF(VLOOKUP(GAS!N127,'GAS ASCII'!$B$2:$D$200,3)&lt;=0,"……………….","*"))</f>
        <v>……………….</v>
      </c>
      <c r="K127" s="3"/>
      <c r="L127" s="415">
        <f>IF(VLOOKUP(GAS!N127,'GAS ASCII'!$B$2:$E$200,4)&gt;=500000,VLOOKUP(GAS!N127,'GAS ASCII'!$B$2:$E$200,4)/1000000,IF(VLOOKUP(GAS!N127,'GAS ASCII'!$B$2:$E$200,4)&lt;=0,"……………….","*"))</f>
        <v>0.781</v>
      </c>
      <c r="M127" s="21"/>
      <c r="N127" t="s">
        <v>114</v>
      </c>
      <c r="O127" s="288"/>
    </row>
    <row r="128" spans="3:15" ht="14.25" customHeight="1">
      <c r="C128" s="9" t="s">
        <v>432</v>
      </c>
      <c r="H128" s="415"/>
      <c r="I128" s="21"/>
      <c r="J128" s="415"/>
      <c r="K128" s="21"/>
      <c r="L128" s="415"/>
      <c r="M128" s="21"/>
      <c r="O128" s="288"/>
    </row>
    <row r="129" spans="3:15" ht="15.75" customHeight="1">
      <c r="C129" s="9" t="s">
        <v>707</v>
      </c>
      <c r="H129" s="415">
        <f>IF(VLOOKUP(GAS!N129,'GAS ASCII'!$B$2:$C$200,2)&gt;=500000,VLOOKUP(GAS!N129,'GAS ASCII'!$B$2:$C$200,2)/1000000,IF(VLOOKUP(GAS!N129,'GAS ASCII'!$B$2:$C$200,2)&lt;=0,"……………….","*"))</f>
        <v>7327.917</v>
      </c>
      <c r="I129" s="21"/>
      <c r="J129" s="415" t="str">
        <f>IF(VLOOKUP(GAS!N129,'GAS ASCII'!$B$2:$D$200,3)&gt;=500000,VLOOKUP(GAS!N129,'GAS ASCII'!$B$2:$D$200,3)/-1000000,IF(VLOOKUP(GAS!N129,'GAS ASCII'!$B$2:$D$200,3)&lt;=0,"……………….","*"))</f>
        <v>……………….</v>
      </c>
      <c r="K129" s="27"/>
      <c r="L129" s="415">
        <f>IF(VLOOKUP(GAS!N129,'GAS ASCII'!$B$2:$E$200,4)&gt;=500000,VLOOKUP(GAS!N129,'GAS ASCII'!$B$2:$E$200,4)/1000000,IF(VLOOKUP(GAS!N129,'GAS ASCII'!$B$2:$E$200,4)&lt;=0,"……………….","*"))</f>
        <v>7327.917</v>
      </c>
      <c r="M129" s="21"/>
      <c r="N129" t="s">
        <v>116</v>
      </c>
      <c r="O129" s="288"/>
    </row>
    <row r="130" spans="2:15" ht="18" customHeight="1">
      <c r="B130" s="7"/>
      <c r="E130" s="43"/>
      <c r="H130" s="415"/>
      <c r="J130" s="415"/>
      <c r="L130" s="415"/>
      <c r="O130" s="288"/>
    </row>
    <row r="131" spans="3:15" ht="15.75" customHeight="1">
      <c r="C131" s="9" t="s">
        <v>435</v>
      </c>
      <c r="H131" s="415">
        <f>IF(VLOOKUP(GAS!N131,'GAS ASCII'!$B$2:$C$200,2)&gt;=500000,VLOOKUP(GAS!N131,'GAS ASCII'!$B$2:$C$200,2)/1000000,IF(VLOOKUP(GAS!N131,'GAS ASCII'!$B$2:$C$200,2)&lt;=0,"……………….","*"))</f>
        <v>2207.781</v>
      </c>
      <c r="I131" s="21"/>
      <c r="J131" s="415" t="str">
        <f>IF(VLOOKUP(GAS!N131,'GAS ASCII'!$B$2:$D$200,3)&gt;=500000,VLOOKUP(GAS!N131,'GAS ASCII'!$B$2:$D$200,3)/-1000000,IF(VLOOKUP(GAS!N131,'GAS ASCII'!$B$2:$D$200,3)&lt;=0,"……………….","*"))</f>
        <v>……………….</v>
      </c>
      <c r="K131" s="27"/>
      <c r="L131" s="415">
        <f>IF(VLOOKUP(GAS!N131,'GAS ASCII'!$B$2:$E$200,4)&gt;=500000,VLOOKUP(GAS!N131,'GAS ASCII'!$B$2:$E$200,4)/1000000,IF(VLOOKUP(GAS!N131,'GAS ASCII'!$B$2:$E$200,4)&lt;=0,"……………….","*"))</f>
        <v>2207.781</v>
      </c>
      <c r="M131" s="21"/>
      <c r="N131" t="s">
        <v>118</v>
      </c>
      <c r="O131" s="288"/>
    </row>
    <row r="132" spans="3:15" ht="15.75" customHeight="1">
      <c r="C132" s="9" t="s">
        <v>436</v>
      </c>
      <c r="H132" s="415"/>
      <c r="I132" s="21"/>
      <c r="J132" s="415"/>
      <c r="K132" s="21"/>
      <c r="L132" s="415"/>
      <c r="M132" s="21"/>
      <c r="O132" s="288"/>
    </row>
    <row r="133" spans="3:15" ht="15.75" customHeight="1">
      <c r="C133" s="9" t="s">
        <v>708</v>
      </c>
      <c r="H133" s="415">
        <f>IF(VLOOKUP(GAS!N133,'GAS ASCII'!$B$2:$C$200,2)&gt;=500000,VLOOKUP(GAS!N133,'GAS ASCII'!$B$2:$C$200,2)/1000000,IF(VLOOKUP(GAS!N133,'GAS ASCII'!$B$2:$C$200,2)&lt;=0,"……………….","*"))</f>
        <v>55.221</v>
      </c>
      <c r="I133" s="21"/>
      <c r="J133" s="415" t="str">
        <f>IF(VLOOKUP(GAS!N133,'GAS ASCII'!$B$2:$D$200,3)&gt;=500000,VLOOKUP(GAS!N133,'GAS ASCII'!$B$2:$D$200,3)/-1000000,IF(VLOOKUP(GAS!N133,'GAS ASCII'!$B$2:$D$200,3)&lt;=0,"……………….","*"))</f>
        <v>*</v>
      </c>
      <c r="K133" s="21"/>
      <c r="L133" s="415">
        <f>IF(VLOOKUP(GAS!N133,'GAS ASCII'!$B$2:$E$200,4)&gt;=500000,VLOOKUP(GAS!N133,'GAS ASCII'!$B$2:$E$200,4)/1000000,IF(VLOOKUP(GAS!N133,'GAS ASCII'!$B$2:$E$200,4)&lt;=0,"……………….","*"))</f>
        <v>54.773</v>
      </c>
      <c r="M133" s="21"/>
      <c r="N133" t="s">
        <v>120</v>
      </c>
      <c r="O133" s="288"/>
    </row>
    <row r="134" spans="3:15" ht="15.75" customHeight="1">
      <c r="C134" s="9" t="s">
        <v>19</v>
      </c>
      <c r="H134" s="415">
        <f>IF(VLOOKUP(GAS!N134,'GAS ASCII'!$B$2:$C$200,2)&gt;=500000,VLOOKUP(GAS!N134,'GAS ASCII'!$B$2:$C$200,2)/1000000,IF(VLOOKUP(GAS!N134,'GAS ASCII'!$B$2:$C$200,2)&lt;=0,"……………….","*"))</f>
        <v>2139.556</v>
      </c>
      <c r="I134" s="21"/>
      <c r="J134" s="415" t="str">
        <f>IF(VLOOKUP(GAS!N134,'GAS ASCII'!$B$2:$D$200,3)&gt;=500000,VLOOKUP(GAS!N134,'GAS ASCII'!$B$2:$D$200,3)/-1000000,IF(VLOOKUP(GAS!N134,'GAS ASCII'!$B$2:$D$200,3)&lt;=0,"……………….","*"))</f>
        <v>……………….</v>
      </c>
      <c r="K134" s="27"/>
      <c r="L134" s="415">
        <f>IF(VLOOKUP(GAS!N134,'GAS ASCII'!$B$2:$E$200,4)&gt;=500000,VLOOKUP(GAS!N134,'GAS ASCII'!$B$2:$E$200,4)/1000000,IF(VLOOKUP(GAS!N134,'GAS ASCII'!$B$2:$E$200,4)&lt;=0,"……………….","*"))</f>
        <v>2139.556</v>
      </c>
      <c r="M134" s="21"/>
      <c r="N134" t="s">
        <v>122</v>
      </c>
      <c r="O134" s="288"/>
    </row>
    <row r="135" spans="3:15" ht="15.75" customHeight="1">
      <c r="C135" s="9" t="s">
        <v>438</v>
      </c>
      <c r="H135" s="415">
        <f>IF(VLOOKUP(GAS!N135,'GAS ASCII'!$B$2:$C$200,2)&gt;=500000,VLOOKUP(GAS!N135,'GAS ASCII'!$B$2:$C$200,2)/1000000,IF(VLOOKUP(GAS!N135,'GAS ASCII'!$B$2:$C$200,2)&lt;=0,"……………….","*"))</f>
        <v>36043.427</v>
      </c>
      <c r="I135" s="21"/>
      <c r="J135" s="415">
        <f>IF(VLOOKUP(GAS!N135,'GAS ASCII'!$B$2:$D$200,3)&gt;=500000,VLOOKUP(GAS!N135,'GAS ASCII'!$B$2:$D$200,3)/-1000000,IF(VLOOKUP(GAS!N135,'GAS ASCII'!$B$2:$D$200,3)&lt;=0,"……………….","*"))</f>
        <v>-19173.445</v>
      </c>
      <c r="K135" s="27"/>
      <c r="L135" s="415">
        <f>IF(VLOOKUP(GAS!N135,'GAS ASCII'!$B$2:$E$200,4)&gt;=500000,VLOOKUP(GAS!N135,'GAS ASCII'!$B$2:$E$200,4)/1000000,IF(VLOOKUP(GAS!N135,'GAS ASCII'!$B$2:$E$200,4)&lt;=0,"……………….","*"))</f>
        <v>16869.982</v>
      </c>
      <c r="M135" s="21"/>
      <c r="N135" t="s">
        <v>124</v>
      </c>
      <c r="O135" s="288"/>
    </row>
    <row r="136" spans="3:15" ht="15.75" customHeight="1">
      <c r="C136" s="9"/>
      <c r="H136" s="415"/>
      <c r="I136" s="21"/>
      <c r="J136" s="415"/>
      <c r="K136" s="27"/>
      <c r="L136" s="415"/>
      <c r="M136" s="21"/>
      <c r="O136" s="288"/>
    </row>
    <row r="137" spans="3:15" ht="15.75" customHeight="1">
      <c r="C137" s="9" t="s">
        <v>709</v>
      </c>
      <c r="H137" s="415">
        <f>IF(VLOOKUP(GAS!N137,'GAS ASCII'!$B$2:$C$200,2)&gt;=500000,VLOOKUP(GAS!N137,'GAS ASCII'!$B$2:$C$200,2)/1000000,IF(VLOOKUP(GAS!N137,'GAS ASCII'!$B$2:$C$200,2)&lt;=0,"……………….","*"))</f>
        <v>371.115</v>
      </c>
      <c r="I137" s="21"/>
      <c r="J137" s="415" t="str">
        <f>IF(VLOOKUP(GAS!N137,'GAS ASCII'!$B$2:$D$200,3)&gt;=500000,VLOOKUP(GAS!N137,'GAS ASCII'!$B$2:$D$200,3)/-1000000,IF(VLOOKUP(GAS!N137,'GAS ASCII'!$B$2:$D$200,3)&lt;=0,"……………….","*"))</f>
        <v>……………….</v>
      </c>
      <c r="K137" s="27"/>
      <c r="L137" s="415">
        <f>IF(VLOOKUP(GAS!N137,'GAS ASCII'!$B$2:$E$200,4)&gt;=500000,VLOOKUP(GAS!N137,'GAS ASCII'!$B$2:$E$200,4)/1000000,IF(VLOOKUP(GAS!N137,'GAS ASCII'!$B$2:$E$200,4)&lt;=0,"……………….","*"))</f>
        <v>371.115</v>
      </c>
      <c r="M137" s="21"/>
      <c r="N137" t="s">
        <v>126</v>
      </c>
      <c r="O137" s="288"/>
    </row>
    <row r="138" spans="3:15" ht="15.75" customHeight="1">
      <c r="C138" s="132" t="s">
        <v>919</v>
      </c>
      <c r="H138" s="415" t="str">
        <f>IF(VLOOKUP(GAS!N138,'GAS ASCII'!$B$2:$C$200,2)&gt;=500000,VLOOKUP(GAS!N138,'GAS ASCII'!$B$2:$C$200,2)/1000000,IF(VLOOKUP(GAS!N138,'GAS ASCII'!$B$2:$C$200,2)&lt;=0,"……………….","*"))</f>
        <v>*</v>
      </c>
      <c r="I138" s="21"/>
      <c r="J138" s="415" t="str">
        <f>IF(VLOOKUP(GAS!N138,'GAS ASCII'!$B$2:$D$200,3)&gt;=500000,VLOOKUP(GAS!N138,'GAS ASCII'!$B$2:$D$200,3)/-1000000,IF(VLOOKUP(GAS!N138,'GAS ASCII'!$B$2:$D$200,3)&lt;=0,"……………….","*"))</f>
        <v>……………….</v>
      </c>
      <c r="K138" s="27"/>
      <c r="L138" s="415" t="str">
        <f>IF(VLOOKUP(GAS!N138,'GAS ASCII'!$B$2:$E$200,4)&gt;=500000,VLOOKUP(GAS!N138,'GAS ASCII'!$B$2:$E$200,4)/1000000,IF(VLOOKUP(GAS!N138,'GAS ASCII'!$B$2:$E$200,4)&lt;=0,"……………….","*"))</f>
        <v>*</v>
      </c>
      <c r="M138" s="21"/>
      <c r="N138" t="s">
        <v>735</v>
      </c>
      <c r="O138" s="288"/>
    </row>
    <row r="139" spans="3:15" ht="15.75" customHeight="1">
      <c r="C139" s="9" t="s">
        <v>584</v>
      </c>
      <c r="H139" s="415">
        <f>IF(VLOOKUP(GAS!N139,'GAS ASCII'!$B$2:$C$200,2)&gt;=500000,VLOOKUP(GAS!N139,'GAS ASCII'!$B$2:$C$200,2)/1000000,IF(VLOOKUP(GAS!N139,'GAS ASCII'!$B$2:$C$200,2)&lt;=0,"……………….","*"))</f>
        <v>4.427</v>
      </c>
      <c r="I139" s="21"/>
      <c r="J139" s="415" t="str">
        <f>IF(VLOOKUP(GAS!N139,'GAS ASCII'!$B$2:$D$200,3)&gt;=500000,VLOOKUP(GAS!N139,'GAS ASCII'!$B$2:$D$200,3)/-1000000,IF(VLOOKUP(GAS!N139,'GAS ASCII'!$B$2:$D$200,3)&lt;=0,"……………….","*"))</f>
        <v>*</v>
      </c>
      <c r="K139" s="3"/>
      <c r="L139" s="415">
        <f>IF(VLOOKUP(GAS!N139,'GAS ASCII'!$B$2:$E$200,4)&gt;=500000,VLOOKUP(GAS!N139,'GAS ASCII'!$B$2:$E$200,4)/1000000,IF(VLOOKUP(GAS!N139,'GAS ASCII'!$B$2:$E$200,4)&lt;=0,"……………….","*"))</f>
        <v>4.277</v>
      </c>
      <c r="M139" s="21"/>
      <c r="N139" t="s">
        <v>737</v>
      </c>
      <c r="O139" s="288"/>
    </row>
    <row r="140" spans="8:15" ht="15.75" customHeight="1">
      <c r="H140" s="415"/>
      <c r="J140" s="415"/>
      <c r="L140" s="415"/>
      <c r="O140" s="288"/>
    </row>
    <row r="141" spans="3:15" ht="15.75" customHeight="1">
      <c r="C141" s="9" t="s">
        <v>916</v>
      </c>
      <c r="H141" s="415">
        <f>IF(VLOOKUP(GAS!N141,'GAS ASCII'!$B$2:$C$200,2)&gt;=500000,VLOOKUP(GAS!N141,'GAS ASCII'!$B$2:$C$200,2)/1000000,IF(VLOOKUP(GAS!N141,'GAS ASCII'!$B$2:$C$200,2)&lt;=0,"……………….","*"))</f>
        <v>37.274</v>
      </c>
      <c r="I141" s="21"/>
      <c r="J141" s="415" t="str">
        <f>IF(VLOOKUP(GAS!N141,'GAS ASCII'!$B$2:$D$200,3)&gt;=500000,VLOOKUP(GAS!N141,'GAS ASCII'!$B$2:$D$200,3)/-1000000,IF(VLOOKUP(GAS!N141,'GAS ASCII'!$B$2:$D$200,3)&lt;=0,"……………….","*"))</f>
        <v>……………….</v>
      </c>
      <c r="K141" s="27"/>
      <c r="L141" s="415">
        <f>IF(VLOOKUP(GAS!N141,'GAS ASCII'!$B$2:$E$200,4)&gt;=500000,VLOOKUP(GAS!N141,'GAS ASCII'!$B$2:$E$200,4)/1000000,IF(VLOOKUP(GAS!N141,'GAS ASCII'!$B$2:$E$200,4)&lt;=0,"……………….","*"))</f>
        <v>37.274</v>
      </c>
      <c r="M141" s="21"/>
      <c r="N141" t="s">
        <v>739</v>
      </c>
      <c r="O141" s="288"/>
    </row>
    <row r="142" spans="3:15" ht="15.75" customHeight="1">
      <c r="C142" s="9" t="s">
        <v>917</v>
      </c>
      <c r="H142" s="415"/>
      <c r="I142" s="21"/>
      <c r="J142" s="415"/>
      <c r="K142" s="21"/>
      <c r="L142" s="415"/>
      <c r="M142" s="21"/>
      <c r="O142" s="288"/>
    </row>
    <row r="143" spans="3:15" ht="15.75" customHeight="1">
      <c r="C143" s="9" t="s">
        <v>711</v>
      </c>
      <c r="H143" s="415">
        <f>IF(VLOOKUP(GAS!N143,'GAS ASCII'!$B$2:$C$200,2)&gt;=500000,VLOOKUP(GAS!N143,'GAS ASCII'!$B$2:$C$200,2)/1000000,IF(VLOOKUP(GAS!N143,'GAS ASCII'!$B$2:$C$200,2)&lt;=0,"……………….","*"))</f>
        <v>38.956</v>
      </c>
      <c r="I143" s="21"/>
      <c r="J143" s="415" t="str">
        <f>IF(VLOOKUP(GAS!N143,'GAS ASCII'!$B$2:$D$200,3)&gt;=500000,VLOOKUP(GAS!N143,'GAS ASCII'!$B$2:$D$200,3)/-1000000,IF(VLOOKUP(GAS!N143,'GAS ASCII'!$B$2:$D$200,3)&lt;=0,"……………….","*"))</f>
        <v>*</v>
      </c>
      <c r="K143" s="3"/>
      <c r="L143" s="415">
        <f>IF(VLOOKUP(GAS!N143,'GAS ASCII'!$B$2:$E$200,4)&gt;=500000,VLOOKUP(GAS!N143,'GAS ASCII'!$B$2:$E$200,4)/1000000,IF(VLOOKUP(GAS!N143,'GAS ASCII'!$B$2:$E$200,4)&lt;=0,"……………….","*"))</f>
        <v>38.78</v>
      </c>
      <c r="M143" s="21"/>
      <c r="N143" t="s">
        <v>741</v>
      </c>
      <c r="O143" s="288"/>
    </row>
    <row r="144" spans="3:15" ht="15.75" customHeight="1">
      <c r="C144" s="9" t="s">
        <v>275</v>
      </c>
      <c r="H144" s="415">
        <f>IF(VLOOKUP(GAS!N144,'GAS ASCII'!$B$2:$C$200,2)&gt;=500000,VLOOKUP(GAS!N144,'GAS ASCII'!$B$2:$C$200,2)/1000000,IF(VLOOKUP(GAS!N144,'GAS ASCII'!$B$2:$C$200,2)&lt;=0,"……………….","*"))</f>
        <v>10.408</v>
      </c>
      <c r="I144" s="21"/>
      <c r="J144" s="415">
        <f>IF(VLOOKUP(GAS!N144,'GAS ASCII'!$B$2:$D$200,3)&gt;=500000,VLOOKUP(GAS!N144,'GAS ASCII'!$B$2:$D$200,3)/-1000000,IF(VLOOKUP(GAS!N144,'GAS ASCII'!$B$2:$D$200,3)&lt;=0,"……………….","*"))</f>
        <v>-0.506</v>
      </c>
      <c r="K144" s="3"/>
      <c r="L144" s="415">
        <f>IF(VLOOKUP(GAS!N144,'GAS ASCII'!$B$2:$E$200,4)&gt;=500000,VLOOKUP(GAS!N144,'GAS ASCII'!$B$2:$E$200,4)/1000000,IF(VLOOKUP(GAS!N144,'GAS ASCII'!$B$2:$E$200,4)&lt;=0,"……………….","*"))</f>
        <v>9.902</v>
      </c>
      <c r="M144" s="21"/>
      <c r="N144" t="s">
        <v>743</v>
      </c>
      <c r="O144" s="288"/>
    </row>
    <row r="145" spans="3:15" ht="15.75" customHeight="1">
      <c r="C145" s="9" t="s">
        <v>949</v>
      </c>
      <c r="H145" s="415">
        <f>IF(VLOOKUP(GAS!N145,'GAS ASCII'!$B$2:$C$200,2)&gt;=500000,VLOOKUP(GAS!N145,'GAS ASCII'!$B$2:$C$200,2)/1000000,IF(VLOOKUP(GAS!N145,'GAS ASCII'!$B$2:$C$200,2)&lt;=0,"……………….","*"))</f>
        <v>168.19</v>
      </c>
      <c r="I145" s="21"/>
      <c r="J145" s="415" t="str">
        <f>IF(VLOOKUP(GAS!N145,'GAS ASCII'!$B$2:$D$200,3)&gt;=500000,VLOOKUP(GAS!N145,'GAS ASCII'!$B$2:$D$200,3)/-1000000,IF(VLOOKUP(GAS!N145,'GAS ASCII'!$B$2:$D$200,3)&lt;=0,"……………….","*"))</f>
        <v>……………….</v>
      </c>
      <c r="K145" s="27"/>
      <c r="L145" s="415">
        <f>IF(VLOOKUP(GAS!N145,'GAS ASCII'!$B$2:$E$200,4)&gt;=500000,VLOOKUP(GAS!N145,'GAS ASCII'!$B$2:$E$200,4)/1000000,IF(VLOOKUP(GAS!N145,'GAS ASCII'!$B$2:$E$200,4)&lt;=0,"……………….","*"))</f>
        <v>168.19</v>
      </c>
      <c r="M145" s="21"/>
      <c r="N145" t="s">
        <v>745</v>
      </c>
      <c r="O145" s="288"/>
    </row>
    <row r="146" spans="3:15" ht="15.75" customHeight="1">
      <c r="C146" s="9" t="s">
        <v>951</v>
      </c>
      <c r="H146" s="415">
        <f>IF(VLOOKUP(GAS!N146,'GAS ASCII'!$B$2:$C$200,2)&gt;=500000,VLOOKUP(GAS!N146,'GAS ASCII'!$B$2:$C$200,2)/1000000,IF(VLOOKUP(GAS!N146,'GAS ASCII'!$B$2:$C$200,2)&lt;=0,"……………….","*"))</f>
        <v>426.976</v>
      </c>
      <c r="I146" s="21"/>
      <c r="J146" s="415" t="str">
        <f>IF(VLOOKUP(GAS!N146,'GAS ASCII'!$B$2:$D$200,3)&gt;=500000,VLOOKUP(GAS!N146,'GAS ASCII'!$B$2:$D$200,3)/-1000000,IF(VLOOKUP(GAS!N146,'GAS ASCII'!$B$2:$D$200,3)&lt;=0,"……………….","*"))</f>
        <v>……………….</v>
      </c>
      <c r="K146" s="27"/>
      <c r="L146" s="415">
        <f>IF(VLOOKUP(GAS!N146,'GAS ASCII'!$B$2:$E$200,4)&gt;=500000,VLOOKUP(GAS!N146,'GAS ASCII'!$B$2:$E$200,4)/1000000,IF(VLOOKUP(GAS!N146,'GAS ASCII'!$B$2:$E$200,4)&lt;=0,"……………….","*"))</f>
        <v>426.976</v>
      </c>
      <c r="M146" s="21"/>
      <c r="N146" t="s">
        <v>747</v>
      </c>
      <c r="O146" s="288"/>
    </row>
    <row r="147" spans="8:15" ht="15.75" customHeight="1">
      <c r="H147" s="415"/>
      <c r="I147" s="21"/>
      <c r="J147" s="415"/>
      <c r="K147" s="21"/>
      <c r="L147" s="415"/>
      <c r="M147" s="21"/>
      <c r="O147" s="288"/>
    </row>
    <row r="148" spans="3:15" ht="15.75" customHeight="1">
      <c r="C148" s="9" t="s">
        <v>956</v>
      </c>
      <c r="H148" s="415">
        <f>IF(VLOOKUP(GAS!N148,'GAS ASCII'!$B$2:$C$200,2)&gt;=500000,VLOOKUP(GAS!N148,'GAS ASCII'!$B$2:$C$200,2)/1000000,IF(VLOOKUP(GAS!N148,'GAS ASCII'!$B$2:$C$200,2)&lt;=0,"……………….","*"))</f>
        <v>6.724</v>
      </c>
      <c r="I148" s="21"/>
      <c r="J148" s="415" t="str">
        <f>IF(VLOOKUP(GAS!N148,'GAS ASCII'!$B$2:$D$200,3)&gt;=500000,VLOOKUP(GAS!N148,'GAS ASCII'!$B$2:$D$200,3)/-1000000,IF(VLOOKUP(GAS!N148,'GAS ASCII'!$B$2:$D$200,3)&lt;=0,"……………….","*"))</f>
        <v>*</v>
      </c>
      <c r="K148" s="3"/>
      <c r="L148" s="415">
        <f>IF(VLOOKUP(GAS!N148,'GAS ASCII'!$B$2:$E$200,4)&gt;=500000,VLOOKUP(GAS!N148,'GAS ASCII'!$B$2:$E$200,4)/1000000,IF(VLOOKUP(GAS!N148,'GAS ASCII'!$B$2:$E$200,4)&lt;=0,"……………….","*"))</f>
        <v>6.634</v>
      </c>
      <c r="M148" s="21"/>
      <c r="N148" t="s">
        <v>749</v>
      </c>
      <c r="O148" s="288"/>
    </row>
    <row r="149" spans="3:15" ht="15.75" customHeight="1">
      <c r="C149" s="9"/>
      <c r="H149" s="415"/>
      <c r="I149" s="21"/>
      <c r="J149" s="415"/>
      <c r="K149" s="3"/>
      <c r="L149" s="415"/>
      <c r="M149" s="21"/>
      <c r="O149" s="288"/>
    </row>
    <row r="150" spans="3:15" ht="15.75" customHeight="1">
      <c r="C150" s="9" t="s">
        <v>1162</v>
      </c>
      <c r="H150" s="415">
        <f>IF(VLOOKUP(GAS!N150,'GAS ASCII'!$B$2:$C$200,2)&gt;=500000,VLOOKUP(GAS!N150,'GAS ASCII'!$B$2:$C$200,2)/1000000,IF(VLOOKUP(GAS!N150,'GAS ASCII'!$B$2:$C$200,2)&lt;=0,"……………….","*"))</f>
        <v>4.093</v>
      </c>
      <c r="I150" s="21"/>
      <c r="J150" s="415" t="str">
        <f>IF(VLOOKUP(GAS!N150,'GAS ASCII'!$B$2:$D$200,3)&gt;=500000,VLOOKUP(GAS!N150,'GAS ASCII'!$B$2:$D$200,3)/-1000000,IF(VLOOKUP(GAS!N150,'GAS ASCII'!$B$2:$D$200,3)&lt;=0,"……………….","*"))</f>
        <v>……………….</v>
      </c>
      <c r="K150" s="27"/>
      <c r="L150" s="415">
        <f>IF(VLOOKUP(GAS!N150,'GAS ASCII'!$B$2:$E$200,4)&gt;=500000,VLOOKUP(GAS!N150,'GAS ASCII'!$B$2:$E$200,4)/1000000,IF(VLOOKUP(GAS!N150,'GAS ASCII'!$B$2:$E$200,4)&lt;=0,"……………….","*"))</f>
        <v>4.093</v>
      </c>
      <c r="M150" s="21"/>
      <c r="N150" t="s">
        <v>751</v>
      </c>
      <c r="O150" s="288"/>
    </row>
    <row r="151" spans="3:15" ht="15.75" customHeight="1">
      <c r="C151" s="9" t="s">
        <v>964</v>
      </c>
      <c r="H151" s="415">
        <f>IF(VLOOKUP(GAS!N151,'GAS ASCII'!$B$2:$C$200,2)&gt;=500000,VLOOKUP(GAS!N151,'GAS ASCII'!$B$2:$C$200,2)/1000000,IF(VLOOKUP(GAS!N151,'GAS ASCII'!$B$2:$C$200,2)&lt;=0,"……………….","*"))</f>
        <v>2131.049</v>
      </c>
      <c r="I151" s="21"/>
      <c r="J151" s="415" t="str">
        <f>IF(VLOOKUP(GAS!N151,'GAS ASCII'!$B$2:$D$200,3)&gt;=500000,VLOOKUP(GAS!N151,'GAS ASCII'!$B$2:$D$200,3)/-1000000,IF(VLOOKUP(GAS!N151,'GAS ASCII'!$B$2:$D$200,3)&lt;=0,"……………….","*"))</f>
        <v>……………….</v>
      </c>
      <c r="K151" s="27"/>
      <c r="L151" s="415">
        <f>IF(VLOOKUP(GAS!N151,'GAS ASCII'!$B$2:$E$200,4)&gt;=500000,VLOOKUP(GAS!N151,'GAS ASCII'!$B$2:$E$200,4)/1000000,IF(VLOOKUP(GAS!N151,'GAS ASCII'!$B$2:$E$200,4)&lt;=0,"……………….","*"))</f>
        <v>2131.049</v>
      </c>
      <c r="M151" s="21"/>
      <c r="N151" t="s">
        <v>753</v>
      </c>
      <c r="O151" s="288"/>
    </row>
    <row r="152" spans="3:15" ht="15.75" customHeight="1">
      <c r="C152" s="9" t="s">
        <v>668</v>
      </c>
      <c r="H152" s="415">
        <f>IF(VLOOKUP(GAS!N152,'GAS ASCII'!$B$2:$C$200,2)&gt;=500000,VLOOKUP(GAS!N152,'GAS ASCII'!$B$2:$C$200,2)/1000000,IF(VLOOKUP(GAS!N152,'GAS ASCII'!$B$2:$C$200,2)&lt;=0,"……………….","*"))</f>
        <v>9.84</v>
      </c>
      <c r="I152" s="21"/>
      <c r="J152" s="415" t="str">
        <f>IF(VLOOKUP(GAS!N152,'GAS ASCII'!$B$2:$D$200,3)&gt;=500000,VLOOKUP(GAS!N152,'GAS ASCII'!$B$2:$D$200,3)/-1000000,IF(VLOOKUP(GAS!N152,'GAS ASCII'!$B$2:$D$200,3)&lt;=0,"……………….","*"))</f>
        <v>……………….</v>
      </c>
      <c r="K152" s="27"/>
      <c r="L152" s="415">
        <f>IF(VLOOKUP(GAS!N152,'GAS ASCII'!$B$2:$E$200,4)&gt;=500000,VLOOKUP(GAS!N152,'GAS ASCII'!$B$2:$E$200,4)/1000000,IF(VLOOKUP(GAS!N152,'GAS ASCII'!$B$2:$E$200,4)&lt;=0,"……………….","*"))</f>
        <v>9.84</v>
      </c>
      <c r="M152" s="21"/>
      <c r="N152" t="s">
        <v>755</v>
      </c>
      <c r="O152" s="288"/>
    </row>
    <row r="153" spans="3:15" ht="15.75" customHeight="1">
      <c r="C153" s="9" t="s">
        <v>965</v>
      </c>
      <c r="H153" s="415">
        <f>IF(VLOOKUP(GAS!N153,'GAS ASCII'!$B$2:$C$200,2)&gt;=500000,VLOOKUP(GAS!N153,'GAS ASCII'!$B$2:$C$200,2)/1000000,IF(VLOOKUP(GAS!N153,'GAS ASCII'!$B$2:$C$200,2)&lt;=0,"……………….","*"))</f>
        <v>37.475</v>
      </c>
      <c r="I153" s="21"/>
      <c r="J153" s="415" t="str">
        <f>IF(VLOOKUP(GAS!N153,'GAS ASCII'!$B$2:$D$200,3)&gt;=500000,VLOOKUP(GAS!N153,'GAS ASCII'!$B$2:$D$200,3)/-1000000,IF(VLOOKUP(GAS!N153,'GAS ASCII'!$B$2:$D$200,3)&lt;=0,"……………….","*"))</f>
        <v>……………….</v>
      </c>
      <c r="K153" s="27"/>
      <c r="L153" s="415">
        <f>IF(VLOOKUP(GAS!N153,'GAS ASCII'!$B$2:$E$200,4)&gt;=500000,VLOOKUP(GAS!N153,'GAS ASCII'!$B$2:$E$200,4)/1000000,IF(VLOOKUP(GAS!N153,'GAS ASCII'!$B$2:$E$200,4)&lt;=0,"……………….","*"))</f>
        <v>37.475</v>
      </c>
      <c r="M153" s="21"/>
      <c r="N153" t="s">
        <v>757</v>
      </c>
      <c r="O153" s="288"/>
    </row>
    <row r="154" spans="3:15" ht="15.75" customHeight="1">
      <c r="C154" s="9" t="s">
        <v>712</v>
      </c>
      <c r="H154" s="415" t="str">
        <f>IF(VLOOKUP(GAS!N154,'GAS ASCII'!$B$2:$C$200,2)&gt;=500000,VLOOKUP(GAS!N154,'GAS ASCII'!$B$2:$C$200,2)/1000000,IF(VLOOKUP(GAS!N154,'GAS ASCII'!$B$2:$C$200,2)&lt;=0,"……………….","*"))</f>
        <v>*</v>
      </c>
      <c r="I154" s="21"/>
      <c r="J154" s="415" t="str">
        <f>IF(VLOOKUP(GAS!N154,'GAS ASCII'!$B$2:$D$200,3)&gt;=500000,VLOOKUP(GAS!N154,'GAS ASCII'!$B$2:$D$200,3)/-1000000,IF(VLOOKUP(GAS!N154,'GAS ASCII'!$B$2:$D$200,3)&lt;=0,"……………….","*"))</f>
        <v>……………….</v>
      </c>
      <c r="K154" s="27"/>
      <c r="L154" s="415" t="str">
        <f>IF(VLOOKUP(GAS!N154,'GAS ASCII'!$B$2:$E$200,4)&gt;=500000,VLOOKUP(GAS!N154,'GAS ASCII'!$B$2:$E$200,4)/1000000,IF(VLOOKUP(GAS!N154,'GAS ASCII'!$B$2:$E$200,4)&lt;=0,"……………….","*"))</f>
        <v>*</v>
      </c>
      <c r="M154" s="21"/>
      <c r="N154" t="s">
        <v>759</v>
      </c>
      <c r="O154" s="288"/>
    </row>
    <row r="155" spans="3:15" ht="15.75" customHeight="1">
      <c r="C155" s="9" t="s">
        <v>1053</v>
      </c>
      <c r="H155" s="415">
        <f>IF(VLOOKUP(GAS!N155,'GAS ASCII'!$B$2:$C$200,2)&gt;=500000,VLOOKUP(GAS!N155,'GAS ASCII'!$B$2:$C$200,2)/1000000,IF(VLOOKUP(GAS!N155,'GAS ASCII'!$B$2:$C$200,2)&lt;=0,"……………….","*"))</f>
        <v>8.382</v>
      </c>
      <c r="I155" s="21"/>
      <c r="J155" s="415" t="str">
        <f>IF(VLOOKUP(GAS!N155,'GAS ASCII'!$B$2:$D$200,3)&gt;=500000,VLOOKUP(GAS!N155,'GAS ASCII'!$B$2:$D$200,3)/-1000000,IF(VLOOKUP(GAS!N155,'GAS ASCII'!$B$2:$D$200,3)&lt;=0,"……………….","*"))</f>
        <v>……………….</v>
      </c>
      <c r="K155" s="27"/>
      <c r="L155" s="415">
        <f>IF(VLOOKUP(GAS!N155,'GAS ASCII'!$B$2:$E$200,4)&gt;=500000,VLOOKUP(GAS!N155,'GAS ASCII'!$B$2:$E$200,4)/1000000,IF(VLOOKUP(GAS!N155,'GAS ASCII'!$B$2:$E$200,4)&lt;=0,"……………….","*"))</f>
        <v>8.382</v>
      </c>
      <c r="M155" s="21"/>
      <c r="N155" t="s">
        <v>761</v>
      </c>
      <c r="O155" s="288"/>
    </row>
    <row r="156" spans="3:15" ht="15.75" customHeight="1">
      <c r="C156" s="9"/>
      <c r="H156" s="415"/>
      <c r="I156" s="21"/>
      <c r="J156" s="415"/>
      <c r="K156" s="27"/>
      <c r="L156" s="415"/>
      <c r="M156" s="21"/>
      <c r="O156" s="288"/>
    </row>
    <row r="157" spans="3:15" ht="15.75" customHeight="1">
      <c r="C157" s="9" t="s">
        <v>895</v>
      </c>
      <c r="H157" s="415">
        <f>IF(VLOOKUP(GAS!N157,'GAS ASCII'!$B$2:$C$200,2)&gt;=500000,VLOOKUP(GAS!N157,'GAS ASCII'!$B$2:$C$200,2)/1000000,IF(VLOOKUP(GAS!N157,'GAS ASCII'!$B$2:$C$200,2)&lt;=0,"……………….","*"))</f>
        <v>13.217</v>
      </c>
      <c r="I157" s="21"/>
      <c r="J157" s="415" t="str">
        <f>IF(VLOOKUP(GAS!N157,'GAS ASCII'!$B$2:$D$200,3)&gt;=500000,VLOOKUP(GAS!N157,'GAS ASCII'!$B$2:$D$200,3)/-1000000,IF(VLOOKUP(GAS!N157,'GAS ASCII'!$B$2:$D$200,3)&lt;=0,"……………….","*"))</f>
        <v>……………….</v>
      </c>
      <c r="K157" s="27"/>
      <c r="L157" s="415">
        <f>IF(VLOOKUP(GAS!N157,'GAS ASCII'!$B$2:$E$200,4)&gt;=500000,VLOOKUP(GAS!N157,'GAS ASCII'!$B$2:$E$200,4)/1000000,IF(VLOOKUP(GAS!N157,'GAS ASCII'!$B$2:$E$200,4)&lt;=0,"……………….","*"))</f>
        <v>13.217</v>
      </c>
      <c r="M157" s="21"/>
      <c r="N157" t="s">
        <v>763</v>
      </c>
      <c r="O157" s="288"/>
    </row>
    <row r="158" spans="3:15" ht="15.75" customHeight="1">
      <c r="C158" s="9" t="s">
        <v>968</v>
      </c>
      <c r="H158" s="415"/>
      <c r="I158" s="21"/>
      <c r="J158" s="415"/>
      <c r="K158" s="21"/>
      <c r="L158" s="415"/>
      <c r="M158" s="21"/>
      <c r="O158" s="288"/>
    </row>
    <row r="159" spans="3:15" ht="15.75" customHeight="1">
      <c r="C159" s="9" t="s">
        <v>985</v>
      </c>
      <c r="H159" s="415">
        <f>IF(VLOOKUP(GAS!N159,'GAS ASCII'!$B$2:$C$200,2)&gt;=500000,VLOOKUP(GAS!N159,'GAS ASCII'!$B$2:$C$200,2)/1000000,IF(VLOOKUP(GAS!N159,'GAS ASCII'!$B$2:$C$200,2)&lt;=0,"……………….","*"))</f>
        <v>26.257</v>
      </c>
      <c r="I159" s="21"/>
      <c r="J159" s="415" t="str">
        <f>IF(VLOOKUP(GAS!N159,'GAS ASCII'!$B$2:$D$200,3)&gt;=500000,VLOOKUP(GAS!N159,'GAS ASCII'!$B$2:$D$200,3)/-1000000,IF(VLOOKUP(GAS!N159,'GAS ASCII'!$B$2:$D$200,3)&lt;=0,"……………….","*"))</f>
        <v>……………….</v>
      </c>
      <c r="K159" s="27"/>
      <c r="L159" s="415">
        <f>IF(VLOOKUP(GAS!N159,'GAS ASCII'!$B$2:$E$200,4)&gt;=500000,VLOOKUP(GAS!N159,'GAS ASCII'!$B$2:$E$200,4)/1000000,IF(VLOOKUP(GAS!N159,'GAS ASCII'!$B$2:$E$200,4)&lt;=0,"……………….","*"))</f>
        <v>26.257</v>
      </c>
      <c r="M159" s="21"/>
      <c r="N159" t="s">
        <v>765</v>
      </c>
      <c r="O159" s="288"/>
    </row>
    <row r="160" spans="8:15" ht="15.75" customHeight="1">
      <c r="H160" s="415"/>
      <c r="I160" s="21"/>
      <c r="J160" s="415"/>
      <c r="K160" s="21"/>
      <c r="L160" s="415"/>
      <c r="M160" s="21"/>
      <c r="O160" s="288"/>
    </row>
    <row r="161" spans="3:15" ht="15.75" customHeight="1">
      <c r="C161" s="9" t="s">
        <v>921</v>
      </c>
      <c r="H161" s="415">
        <f>IF(VLOOKUP(GAS!N161,'GAS ASCII'!$B$2:$C$200,2)&gt;=500000,VLOOKUP(GAS!N161,'GAS ASCII'!$B$2:$C$200,2)/1000000,IF(VLOOKUP(GAS!N161,'GAS ASCII'!$B$2:$C$200,2)&lt;=0,"……………….","*"))</f>
        <v>12.227</v>
      </c>
      <c r="I161" s="21"/>
      <c r="J161" s="415">
        <f>IF(VLOOKUP(GAS!N161,'GAS ASCII'!$B$2:$D$200,3)&gt;=500000,VLOOKUP(GAS!N161,'GAS ASCII'!$B$2:$D$200,3)/-1000000,IF(VLOOKUP(GAS!N161,'GAS ASCII'!$B$2:$D$200,3)&lt;=0,"……………….","*"))</f>
        <v>-0.921</v>
      </c>
      <c r="K161" s="27"/>
      <c r="L161" s="415">
        <f>IF(VLOOKUP(GAS!N161,'GAS ASCII'!$B$2:$E$200,4)&gt;=500000,VLOOKUP(GAS!N161,'GAS ASCII'!$B$2:$E$200,4)/1000000,IF(VLOOKUP(GAS!N161,'GAS ASCII'!$B$2:$E$200,4)&lt;=0,"……………….","*"))</f>
        <v>11.306</v>
      </c>
      <c r="M161" s="21"/>
      <c r="N161" t="s">
        <v>767</v>
      </c>
      <c r="O161" s="288"/>
    </row>
    <row r="162" spans="3:15" ht="15.75" customHeight="1">
      <c r="C162" s="9" t="s">
        <v>922</v>
      </c>
      <c r="H162" s="415">
        <f>IF(VLOOKUP(GAS!N162,'GAS ASCII'!$B$2:$C$200,2)&gt;=500000,VLOOKUP(GAS!N162,'GAS ASCII'!$B$2:$C$200,2)/1000000,IF(VLOOKUP(GAS!N162,'GAS ASCII'!$B$2:$C$200,2)&lt;=0,"……………….","*"))</f>
        <v>5757.461</v>
      </c>
      <c r="I162" s="21"/>
      <c r="J162" s="415" t="str">
        <f>IF(VLOOKUP(GAS!N162,'GAS ASCII'!$B$2:$D$200,3)&gt;=500000,VLOOKUP(GAS!N162,'GAS ASCII'!$B$2:$D$200,3)/-1000000,IF(VLOOKUP(GAS!N162,'GAS ASCII'!$B$2:$D$200,3)&lt;=0,"……………….","*"))</f>
        <v>……………….</v>
      </c>
      <c r="K162" s="27"/>
      <c r="L162" s="415">
        <f>IF(VLOOKUP(GAS!N162,'GAS ASCII'!$B$2:$E$200,4)&gt;=500000,VLOOKUP(GAS!N162,'GAS ASCII'!$B$2:$E$200,4)/1000000,IF(VLOOKUP(GAS!N162,'GAS ASCII'!$B$2:$E$200,4)&lt;=0,"……………….","*"))</f>
        <v>5757.461</v>
      </c>
      <c r="M162" s="21"/>
      <c r="N162" t="s">
        <v>769</v>
      </c>
      <c r="O162" s="288"/>
    </row>
    <row r="163" spans="3:15" ht="15.75" customHeight="1">
      <c r="C163" s="9" t="s">
        <v>184</v>
      </c>
      <c r="H163" s="415">
        <f>IF(VLOOKUP(GAS!N163,'GAS ASCII'!$B$2:$C$200,2)&gt;=500000,VLOOKUP(GAS!N163,'GAS ASCII'!$B$2:$C$200,2)/1000000,IF(VLOOKUP(GAS!N163,'GAS ASCII'!$B$2:$C$200,2)&lt;=0,"……………….","*"))</f>
        <v>465.61686624000004</v>
      </c>
      <c r="I163" s="21"/>
      <c r="J163" s="415" t="str">
        <f>IF(VLOOKUP(GAS!N163,'GAS ASCII'!$B$2:$D$200,3)&gt;=500000,VLOOKUP(GAS!N163,'GAS ASCII'!$B$2:$D$200,3)/-1000000,IF(VLOOKUP(GAS!N163,'GAS ASCII'!$B$2:$D$200,3)&lt;=0,"……………….","*"))</f>
        <v>……………….</v>
      </c>
      <c r="K163" s="27"/>
      <c r="L163" s="415">
        <f>IF(VLOOKUP(GAS!N163,'GAS ASCII'!$B$2:$E$200,4)&gt;=500000,VLOOKUP(GAS!N163,'GAS ASCII'!$B$2:$E$200,4)/1000000,IF(VLOOKUP(GAS!N163,'GAS ASCII'!$B$2:$E$200,4)&lt;=0,"……………….","*"))</f>
        <v>465.61686624000004</v>
      </c>
      <c r="M163" s="21"/>
      <c r="N163" t="s">
        <v>771</v>
      </c>
      <c r="O163" s="288"/>
    </row>
    <row r="164" spans="3:15" ht="15.75" customHeight="1">
      <c r="C164" s="9" t="s">
        <v>10</v>
      </c>
      <c r="H164" s="415">
        <f>IF(VLOOKUP(GAS!N164,'GAS ASCII'!$B$2:$C$200,2)&gt;=500000,VLOOKUP(GAS!N164,'GAS ASCII'!$B$2:$C$200,2)/1000000,IF(VLOOKUP(GAS!N164,'GAS ASCII'!$B$2:$C$200,2)&lt;=0,"……………….","*"))</f>
        <v>6.353</v>
      </c>
      <c r="I164" s="21"/>
      <c r="J164" s="415" t="str">
        <f>IF(VLOOKUP(GAS!N164,'GAS ASCII'!$B$2:$D$200,3)&gt;=500000,VLOOKUP(GAS!N164,'GAS ASCII'!$B$2:$D$200,3)/-1000000,IF(VLOOKUP(GAS!N164,'GAS ASCII'!$B$2:$D$200,3)&lt;=0,"……………….","*"))</f>
        <v>……………….</v>
      </c>
      <c r="K164" s="27"/>
      <c r="L164" s="415">
        <f>IF(VLOOKUP(GAS!N164,'GAS ASCII'!$B$2:$E$200,4)&gt;=500000,VLOOKUP(GAS!N164,'GAS ASCII'!$B$2:$E$200,4)/1000000,IF(VLOOKUP(GAS!N164,'GAS ASCII'!$B$2:$E$200,4)&lt;=0,"……………….","*"))</f>
        <v>6.353</v>
      </c>
      <c r="M164" s="21"/>
      <c r="N164" t="s">
        <v>773</v>
      </c>
      <c r="O164" s="288"/>
    </row>
    <row r="165" spans="3:15" ht="15.75" customHeight="1">
      <c r="C165" s="9" t="s">
        <v>986</v>
      </c>
      <c r="H165" s="415">
        <f>IF(VLOOKUP(GAS!N165,'GAS ASCII'!$B$2:$C$200,2)&gt;=500000,VLOOKUP(GAS!N165,'GAS ASCII'!$B$2:$C$200,2)/1000000,IF(VLOOKUP(GAS!N165,'GAS ASCII'!$B$2:$C$200,2)&lt;=0,"……………….","*"))</f>
        <v>3.371</v>
      </c>
      <c r="I165" s="21"/>
      <c r="J165" s="415" t="str">
        <f>IF(VLOOKUP(GAS!N165,'GAS ASCII'!$B$2:$D$200,3)&gt;=500000,VLOOKUP(GAS!N165,'GAS ASCII'!$B$2:$D$200,3)/-1000000,IF(VLOOKUP(GAS!N165,'GAS ASCII'!$B$2:$D$200,3)&lt;=0,"……………….","*"))</f>
        <v>……………….</v>
      </c>
      <c r="K165" s="27"/>
      <c r="L165" s="415">
        <f>IF(VLOOKUP(GAS!N165,'GAS ASCII'!$B$2:$E$200,4)&gt;=500000,VLOOKUP(GAS!N165,'GAS ASCII'!$B$2:$E$200,4)/1000000,IF(VLOOKUP(GAS!N165,'GAS ASCII'!$B$2:$E$200,4)&lt;=0,"……………….","*"))</f>
        <v>3.371</v>
      </c>
      <c r="M165" s="21"/>
      <c r="N165" t="s">
        <v>775</v>
      </c>
      <c r="O165" s="288"/>
    </row>
    <row r="166" spans="3:15" ht="15.75" customHeight="1">
      <c r="C166" s="9" t="s">
        <v>431</v>
      </c>
      <c r="H166" s="415">
        <f>IF(VLOOKUP(GAS!N166,'GAS ASCII'!$B$2:$C$200,2)&gt;=500000,VLOOKUP(GAS!N166,'GAS ASCII'!$B$2:$C$200,2)/1000000,IF(VLOOKUP(GAS!N166,'GAS ASCII'!$B$2:$C$200,2)&lt;=0,"……………….","*"))</f>
        <v>19.014</v>
      </c>
      <c r="I166" s="21"/>
      <c r="J166" s="415" t="str">
        <f>IF(VLOOKUP(GAS!N166,'GAS ASCII'!$B$2:$D$200,3)&gt;=500000,VLOOKUP(GAS!N166,'GAS ASCII'!$B$2:$D$200,3)/-1000000,IF(VLOOKUP(GAS!N166,'GAS ASCII'!$B$2:$D$200,3)&lt;=0,"……………….","*"))</f>
        <v>……………….</v>
      </c>
      <c r="K166" s="27"/>
      <c r="L166" s="415">
        <f>IF(VLOOKUP(GAS!N166,'GAS ASCII'!$B$2:$E$200,4)&gt;=500000,VLOOKUP(GAS!N166,'GAS ASCII'!$B$2:$E$200,4)/1000000,IF(VLOOKUP(GAS!N166,'GAS ASCII'!$B$2:$E$200,4)&lt;=0,"……………….","*"))</f>
        <v>19.014</v>
      </c>
      <c r="M166" s="21"/>
      <c r="N166" t="s">
        <v>777</v>
      </c>
      <c r="O166" s="288"/>
    </row>
    <row r="167" spans="3:15" ht="15.75" customHeight="1">
      <c r="C167" s="9" t="s">
        <v>899</v>
      </c>
      <c r="H167" s="415">
        <f>IF(VLOOKUP(GAS!N167,'GAS ASCII'!$B$2:$C$200,2)&gt;=500000,VLOOKUP(GAS!N167,'GAS ASCII'!$B$2:$C$200,2)/1000000,IF(VLOOKUP(GAS!N167,'GAS ASCII'!$B$2:$C$200,2)&lt;=0,"……………….","*"))</f>
        <v>23.045</v>
      </c>
      <c r="I167" s="21"/>
      <c r="J167" s="415" t="str">
        <f>IF(VLOOKUP(GAS!N167,'GAS ASCII'!$B$2:$D$200,3)&gt;=500000,VLOOKUP(GAS!N167,'GAS ASCII'!$B$2:$D$200,3)/-1000000,IF(VLOOKUP(GAS!N167,'GAS ASCII'!$B$2:$D$200,3)&lt;=0,"……………….","*"))</f>
        <v>*</v>
      </c>
      <c r="K167" s="27"/>
      <c r="L167" s="415">
        <f>IF(VLOOKUP(GAS!N167,'GAS ASCII'!$B$2:$E$200,4)&gt;=500000,VLOOKUP(GAS!N167,'GAS ASCII'!$B$2:$E$200,4)/1000000,IF(VLOOKUP(GAS!N167,'GAS ASCII'!$B$2:$E$200,4)&lt;=0,"……………….","*"))</f>
        <v>22.793</v>
      </c>
      <c r="M167" s="21"/>
      <c r="N167" t="s">
        <v>779</v>
      </c>
      <c r="O167" s="288"/>
    </row>
    <row r="168" spans="3:15" ht="15.75" customHeight="1">
      <c r="C168" s="9" t="s">
        <v>900</v>
      </c>
      <c r="H168" s="415">
        <f>IF(VLOOKUP(GAS!N168,'GAS ASCII'!$B$2:$C$200,2)&gt;=500000,VLOOKUP(GAS!N168,'GAS ASCII'!$B$2:$C$200,2)/1000000,IF(VLOOKUP(GAS!N168,'GAS ASCII'!$B$2:$C$200,2)&lt;=0,"……………….","*"))</f>
        <v>20941.004</v>
      </c>
      <c r="I168" s="21"/>
      <c r="J168" s="415">
        <f>IF(VLOOKUP(GAS!N168,'GAS ASCII'!$B$2:$D$200,3)&gt;=500000,VLOOKUP(GAS!N168,'GAS ASCII'!$B$2:$D$200,3)/-1000000,IF(VLOOKUP(GAS!N168,'GAS ASCII'!$B$2:$D$200,3)&lt;=0,"……………….","*"))</f>
        <v>-9639.629</v>
      </c>
      <c r="K168" s="27"/>
      <c r="L168" s="415">
        <f>IF(VLOOKUP(GAS!N168,'GAS ASCII'!$B$2:$E$200,4)&gt;=500000,VLOOKUP(GAS!N168,'GAS ASCII'!$B$2:$E$200,4)/1000000,IF(VLOOKUP(GAS!N168,'GAS ASCII'!$B$2:$E$200,4)&lt;=0,"……………….","*"))</f>
        <v>11301.375</v>
      </c>
      <c r="M168" s="21"/>
      <c r="N168" t="s">
        <v>781</v>
      </c>
      <c r="O168" s="288"/>
    </row>
    <row r="169" spans="3:15" ht="15.75" customHeight="1">
      <c r="C169" s="9" t="s">
        <v>901</v>
      </c>
      <c r="H169" s="415">
        <f>IF(VLOOKUP(GAS!N169,'GAS ASCII'!$B$2:$C$200,2)&gt;=500000,VLOOKUP(GAS!N169,'GAS ASCII'!$B$2:$C$200,2)/1000000,IF(VLOOKUP(GAS!N169,'GAS ASCII'!$B$2:$C$200,2)&lt;=0,"……………….","*"))</f>
        <v>221.114</v>
      </c>
      <c r="I169" s="21"/>
      <c r="J169" s="415" t="str">
        <f>IF(VLOOKUP(GAS!N169,'GAS ASCII'!$B$2:$D$200,3)&gt;=500000,VLOOKUP(GAS!N169,'GAS ASCII'!$B$2:$D$200,3)/-1000000,IF(VLOOKUP(GAS!N169,'GAS ASCII'!$B$2:$D$200,3)&lt;=0,"……………….","*"))</f>
        <v>……………….</v>
      </c>
      <c r="K169" s="27"/>
      <c r="L169" s="415">
        <f>IF(VLOOKUP(GAS!N169,'GAS ASCII'!$B$2:$E$200,4)&gt;=500000,VLOOKUP(GAS!N169,'GAS ASCII'!$B$2:$E$200,4)/1000000,IF(VLOOKUP(GAS!N169,'GAS ASCII'!$B$2:$E$200,4)&lt;=0,"……………….","*"))</f>
        <v>221.114</v>
      </c>
      <c r="M169" s="21"/>
      <c r="N169" t="s">
        <v>733</v>
      </c>
      <c r="O169" s="288"/>
    </row>
    <row r="170" spans="3:15" ht="15.75" customHeight="1">
      <c r="C170" s="9" t="s">
        <v>987</v>
      </c>
      <c r="H170" s="415">
        <f>IF(VLOOKUP(GAS!N170,'GAS ASCII'!$B$2:$C$200,2)&gt;=500000,VLOOKUP(GAS!N170,'GAS ASCII'!$B$2:$C$200,2)/1000000,IF(VLOOKUP(GAS!N170,'GAS ASCII'!$B$2:$C$200,2)&lt;=0,"……………….","*"))</f>
        <v>41.423</v>
      </c>
      <c r="I170" s="21"/>
      <c r="J170" s="415" t="str">
        <f>IF(VLOOKUP(GAS!N170,'GAS ASCII'!$B$2:$D$200,3)&gt;=500000,VLOOKUP(GAS!N170,'GAS ASCII'!$B$2:$D$200,3)/-1000000,IF(VLOOKUP(GAS!N170,'GAS ASCII'!$B$2:$D$200,3)&lt;=0,"……………….","*"))</f>
        <v>……………….</v>
      </c>
      <c r="K170" s="27"/>
      <c r="L170" s="415">
        <f>IF(VLOOKUP(GAS!N170,'GAS ASCII'!$B$2:$E$200,4)&gt;=500000,VLOOKUP(GAS!N170,'GAS ASCII'!$B$2:$E$200,4)/1000000,IF(VLOOKUP(GAS!N170,'GAS ASCII'!$B$2:$E$200,4)&lt;=0,"……………….","*"))</f>
        <v>41.423</v>
      </c>
      <c r="M170" s="21"/>
      <c r="N170" t="s">
        <v>302</v>
      </c>
      <c r="O170" s="288"/>
    </row>
    <row r="171" spans="3:15" ht="15.75" customHeight="1">
      <c r="C171" s="9" t="s">
        <v>969</v>
      </c>
      <c r="H171" s="415"/>
      <c r="I171" s="21"/>
      <c r="J171" s="415"/>
      <c r="K171" s="21"/>
      <c r="L171" s="415"/>
      <c r="M171" s="21"/>
      <c r="O171" s="288"/>
    </row>
    <row r="172" spans="3:15" ht="15.75" customHeight="1">
      <c r="C172" s="9" t="s">
        <v>988</v>
      </c>
      <c r="H172" s="415">
        <f>IF(VLOOKUP(GAS!N172,'GAS ASCII'!$B$2:$C$200,2)&gt;=500000,VLOOKUP(GAS!N172,'GAS ASCII'!$B$2:$C$200,2)/1000000,IF(VLOOKUP(GAS!N172,'GAS ASCII'!$B$2:$C$200,2)&lt;=0,"……………….","*"))</f>
        <v>153.874</v>
      </c>
      <c r="I172" s="21"/>
      <c r="J172" s="415" t="str">
        <f>IF(VLOOKUP(GAS!N172,'GAS ASCII'!$B$2:$D$200,3)&gt;=500000,VLOOKUP(GAS!N172,'GAS ASCII'!$B$2:$D$200,3)/-1000000,IF(VLOOKUP(GAS!N172,'GAS ASCII'!$B$2:$D$200,3)&lt;=0,"……………….","*"))</f>
        <v>……………….</v>
      </c>
      <c r="K172" s="27"/>
      <c r="L172" s="415">
        <f>IF(VLOOKUP(GAS!N172,'GAS ASCII'!$B$2:$E$200,4)&gt;=500000,VLOOKUP(GAS!N172,'GAS ASCII'!$B$2:$E$200,4)/1000000,IF(VLOOKUP(GAS!N172,'GAS ASCII'!$B$2:$E$200,4)&lt;=0,"……………….","*"))</f>
        <v>153.874</v>
      </c>
      <c r="M172" s="21"/>
      <c r="N172" t="s">
        <v>304</v>
      </c>
      <c r="O172" s="288"/>
    </row>
    <row r="173" spans="3:15" ht="15.75" customHeight="1">
      <c r="C173" s="9" t="s">
        <v>979</v>
      </c>
      <c r="H173" s="415">
        <f>IF(VLOOKUP(GAS!N173,'GAS ASCII'!$B$2:$C$200,2)&gt;=500000,VLOOKUP(GAS!N173,'GAS ASCII'!$B$2:$C$200,2)/1000000,IF(VLOOKUP(GAS!N173,'GAS ASCII'!$B$2:$C$200,2)&lt;=0,"……………….","*"))</f>
        <v>30116.37</v>
      </c>
      <c r="I173" s="21"/>
      <c r="J173" s="415">
        <f>IF(VLOOKUP(GAS!N173,'GAS ASCII'!$B$2:$D$200,3)&gt;=500000,VLOOKUP(GAS!N173,'GAS ASCII'!$B$2:$D$200,3)/-1000000,IF(VLOOKUP(GAS!N173,'GAS ASCII'!$B$2:$D$200,3)&lt;=0,"……………….","*"))</f>
        <v>-3328.661</v>
      </c>
      <c r="K173" s="21"/>
      <c r="L173" s="415">
        <f>IF(VLOOKUP(GAS!N173,'GAS ASCII'!$B$2:$E$200,4)&gt;=500000,VLOOKUP(GAS!N173,'GAS ASCII'!$B$2:$E$200,4)/1000000,IF(VLOOKUP(GAS!N173,'GAS ASCII'!$B$2:$E$200,4)&lt;=0,"……………….","*"))</f>
        <v>26787.709</v>
      </c>
      <c r="M173" s="21"/>
      <c r="N173" t="s">
        <v>306</v>
      </c>
      <c r="O173" s="288"/>
    </row>
    <row r="174" spans="8:15" ht="15.75" customHeight="1">
      <c r="H174" s="415"/>
      <c r="I174" s="21"/>
      <c r="J174" s="415"/>
      <c r="K174" s="21"/>
      <c r="L174" s="415"/>
      <c r="M174" s="21"/>
      <c r="O174" s="288"/>
    </row>
    <row r="175" spans="3:15" ht="15.75" customHeight="1">
      <c r="C175" s="9" t="s">
        <v>274</v>
      </c>
      <c r="H175" s="415">
        <f>IF(VLOOKUP(GAS!N175,'GAS ASCII'!$B$2:$C$200,2)&gt;=500000,VLOOKUP(GAS!N175,'GAS ASCII'!$B$2:$C$200,2)/1000000,IF(VLOOKUP(GAS!N175,'GAS ASCII'!$B$2:$C$200,2)&lt;=0,"……………….","*"))</f>
        <v>926.062</v>
      </c>
      <c r="I175" s="21"/>
      <c r="J175" s="415" t="str">
        <f>IF(VLOOKUP(GAS!N175,'GAS ASCII'!$B$2:$D$200,3)&gt;=500000,VLOOKUP(GAS!N175,'GAS ASCII'!$B$2:$D$200,3)/-1000000,IF(VLOOKUP(GAS!N175,'GAS ASCII'!$B$2:$D$200,3)&lt;=0,"……………….","*"))</f>
        <v>*</v>
      </c>
      <c r="K175" s="3"/>
      <c r="L175" s="415">
        <f>IF(VLOOKUP(GAS!N175,'GAS ASCII'!$B$2:$E$200,4)&gt;=500000,VLOOKUP(GAS!N175,'GAS ASCII'!$B$2:$E$200,4)/1000000,IF(VLOOKUP(GAS!N175,'GAS ASCII'!$B$2:$E$200,4)&lt;=0,"……………….","*"))</f>
        <v>925.716</v>
      </c>
      <c r="M175" s="21"/>
      <c r="N175" t="s">
        <v>308</v>
      </c>
      <c r="O175" s="288"/>
    </row>
    <row r="176" spans="3:15" ht="15.75" customHeight="1">
      <c r="C176" s="9" t="s">
        <v>981</v>
      </c>
      <c r="H176" s="415" t="str">
        <f>IF(VLOOKUP(GAS!N176,'GAS ASCII'!$B$2:$C$200,2)&gt;=500000,VLOOKUP(GAS!N176,'GAS ASCII'!$B$2:$C$200,2)/1000000,IF(VLOOKUP(GAS!N176,'GAS ASCII'!$B$2:$C$200,2)&lt;=0,"……………….","*"))</f>
        <v>*</v>
      </c>
      <c r="I176" s="21"/>
      <c r="J176" s="415" t="str">
        <f>IF(VLOOKUP(GAS!N176,'GAS ASCII'!$B$2:$D$200,3)&gt;=500000,VLOOKUP(GAS!N176,'GAS ASCII'!$B$2:$D$200,3)/-1000000,IF(VLOOKUP(GAS!N176,'GAS ASCII'!$B$2:$D$200,3)&lt;=0,"……………….","*"))</f>
        <v>……………….</v>
      </c>
      <c r="K176" s="27"/>
      <c r="L176" s="415" t="str">
        <f>IF(VLOOKUP(GAS!N176,'GAS ASCII'!$B$2:$E$200,4)&gt;=500000,VLOOKUP(GAS!N176,'GAS ASCII'!$B$2:$E$200,4)/1000000,IF(VLOOKUP(GAS!N176,'GAS ASCII'!$B$2:$E$200,4)&lt;=0,"……………….","*"))</f>
        <v>*</v>
      </c>
      <c r="M176" s="21"/>
      <c r="N176" t="s">
        <v>310</v>
      </c>
      <c r="O176" s="288"/>
    </row>
    <row r="177" spans="3:15" ht="15.75" customHeight="1">
      <c r="C177" s="9" t="s">
        <v>999</v>
      </c>
      <c r="H177" s="415">
        <f>IF(VLOOKUP(GAS!N177,'GAS ASCII'!$B$2:$C$200,2)&gt;=500000,VLOOKUP(GAS!N177,'GAS ASCII'!$B$2:$C$200,2)/1000000,IF(VLOOKUP(GAS!N177,'GAS ASCII'!$B$2:$C$200,2)&lt;=0,"……………….","*"))</f>
        <v>19.097</v>
      </c>
      <c r="I177" s="21"/>
      <c r="J177" s="415" t="str">
        <f>IF(VLOOKUP(GAS!N177,'GAS ASCII'!$B$2:$D$200,3)&gt;=500000,VLOOKUP(GAS!N177,'GAS ASCII'!$B$2:$D$200,3)/-1000000,IF(VLOOKUP(GAS!N177,'GAS ASCII'!$B$2:$D$200,3)&lt;=0,"……………….","*"))</f>
        <v>……………….</v>
      </c>
      <c r="K177" s="27"/>
      <c r="L177" s="415">
        <f>IF(VLOOKUP(GAS!N177,'GAS ASCII'!$B$2:$E$200,4)&gt;=500000,VLOOKUP(GAS!N177,'GAS ASCII'!$B$2:$E$200,4)/1000000,IF(VLOOKUP(GAS!N177,'GAS ASCII'!$B$2:$E$200,4)&lt;=0,"……………….","*"))</f>
        <v>19.097</v>
      </c>
      <c r="M177" s="21"/>
      <c r="N177" t="s">
        <v>352</v>
      </c>
      <c r="O177" s="288"/>
    </row>
    <row r="178" spans="3:15" ht="15.75" customHeight="1">
      <c r="C178" s="9" t="s">
        <v>983</v>
      </c>
      <c r="H178" s="415">
        <f>IF(VLOOKUP(GAS!N178,'GAS ASCII'!$B$2:$C$200,2)&gt;=500000,VLOOKUP(GAS!N178,'GAS ASCII'!$B$2:$C$200,2)/1000000,IF(VLOOKUP(GAS!N178,'GAS ASCII'!$B$2:$C$200,2)&lt;=0,"……………….","*"))</f>
        <v>23.223</v>
      </c>
      <c r="I178" s="21"/>
      <c r="J178" s="415" t="str">
        <f>IF(VLOOKUP(GAS!N178,'GAS ASCII'!$B$2:$D$200,3)&gt;=500000,VLOOKUP(GAS!N178,'GAS ASCII'!$B$2:$D$200,3)/-1000000,IF(VLOOKUP(GAS!N178,'GAS ASCII'!$B$2:$D$200,3)&lt;=0,"……………….","*"))</f>
        <v>……………….</v>
      </c>
      <c r="K178" s="27"/>
      <c r="L178" s="415">
        <f>IF(VLOOKUP(GAS!N178,'GAS ASCII'!$B$2:$E$200,4)&gt;=500000,VLOOKUP(GAS!N178,'GAS ASCII'!$B$2:$E$200,4)/1000000,IF(VLOOKUP(GAS!N178,'GAS ASCII'!$B$2:$E$200,4)&lt;=0,"……………….","*"))</f>
        <v>23.223</v>
      </c>
      <c r="M178" s="21"/>
      <c r="N178" t="s">
        <v>312</v>
      </c>
      <c r="O178" s="288"/>
    </row>
    <row r="179" spans="3:15" ht="15.75" customHeight="1">
      <c r="C179" s="9" t="s">
        <v>990</v>
      </c>
      <c r="H179" s="415">
        <f>IF(VLOOKUP(GAS!N179,'GAS ASCII'!$B$2:$C$200,2)&gt;=500000,VLOOKUP(GAS!N179,'GAS ASCII'!$B$2:$C$200,2)/1000000,IF(VLOOKUP(GAS!N179,'GAS ASCII'!$B$2:$C$200,2)&lt;=0,"……………….","*"))</f>
        <v>6.1</v>
      </c>
      <c r="I179" s="21"/>
      <c r="J179" s="415" t="str">
        <f>IF(VLOOKUP(GAS!N179,'GAS ASCII'!$B$2:$D$200,3)&gt;=500000,VLOOKUP(GAS!N179,'GAS ASCII'!$B$2:$D$200,3)/-1000000,IF(VLOOKUP(GAS!N179,'GAS ASCII'!$B$2:$D$200,3)&lt;=0,"……………….","*"))</f>
        <v>……………….</v>
      </c>
      <c r="K179" s="27"/>
      <c r="L179" s="415">
        <f>IF(VLOOKUP(GAS!N179,'GAS ASCII'!$B$2:$E$200,4)&gt;=500000,VLOOKUP(GAS!N179,'GAS ASCII'!$B$2:$E$200,4)/1000000,IF(VLOOKUP(GAS!N179,'GAS ASCII'!$B$2:$E$200,4)&lt;=0,"……………….","*"))</f>
        <v>6.1</v>
      </c>
      <c r="M179" s="21"/>
      <c r="N179" t="s">
        <v>314</v>
      </c>
      <c r="O179" s="288"/>
    </row>
    <row r="180" spans="3:15" ht="15.75" customHeight="1">
      <c r="C180" s="9" t="s">
        <v>984</v>
      </c>
      <c r="H180" s="415"/>
      <c r="I180" s="21"/>
      <c r="J180" s="415"/>
      <c r="K180" s="21"/>
      <c r="L180" s="415"/>
      <c r="M180" s="21"/>
      <c r="O180" s="288"/>
    </row>
    <row r="181" spans="3:15" ht="15.75" customHeight="1">
      <c r="C181" s="9" t="s">
        <v>991</v>
      </c>
      <c r="H181" s="415">
        <f>IF(VLOOKUP(GAS!N181,'GAS ASCII'!$B$2:$C$200,2)&gt;=500000,VLOOKUP(GAS!N181,'GAS ASCII'!$B$2:$C$200,2)/1000000,IF(VLOOKUP(GAS!N181,'GAS ASCII'!$B$2:$C$200,2)&lt;=0,"……………….","*"))</f>
        <v>3680.645</v>
      </c>
      <c r="I181" s="21"/>
      <c r="J181" s="415">
        <f>IF(VLOOKUP(GAS!N181,'GAS ASCII'!$B$2:$D$200,3)&gt;=500000,VLOOKUP(GAS!N181,'GAS ASCII'!$B$2:$D$200,3)/-1000000,IF(VLOOKUP(GAS!N181,'GAS ASCII'!$B$2:$D$200,3)&lt;=0,"……………….","*"))</f>
        <v>-74.717</v>
      </c>
      <c r="K181" s="21"/>
      <c r="L181" s="415">
        <f>IF(VLOOKUP(GAS!N181,'GAS ASCII'!$B$2:$E$200,4)&gt;=500000,VLOOKUP(GAS!N181,'GAS ASCII'!$B$2:$E$200,4)/1000000,IF(VLOOKUP(GAS!N181,'GAS ASCII'!$B$2:$E$200,4)&lt;=0,"……………….","*"))</f>
        <v>3605.928</v>
      </c>
      <c r="M181" s="21"/>
      <c r="N181" t="s">
        <v>316</v>
      </c>
      <c r="O181" s="288"/>
    </row>
    <row r="182" spans="3:15" ht="15.75" customHeight="1">
      <c r="C182" s="9"/>
      <c r="H182" s="415"/>
      <c r="I182" s="21"/>
      <c r="J182" s="415"/>
      <c r="K182" s="27"/>
      <c r="L182" s="415"/>
      <c r="M182" s="21"/>
      <c r="O182" s="288"/>
    </row>
    <row r="183" spans="3:15" ht="15.75" customHeight="1">
      <c r="C183" s="9" t="s">
        <v>554</v>
      </c>
      <c r="H183" s="415">
        <f>IF(VLOOKUP(GAS!N183,'GAS ASCII'!$B$2:$C$200,2)&gt;=500000,VLOOKUP(GAS!N183,'GAS ASCII'!$B$2:$C$200,2)/1000000,IF(VLOOKUP(GAS!N183,'GAS ASCII'!$B$2:$C$200,2)&lt;=0,"……………….","*"))</f>
        <v>73.145</v>
      </c>
      <c r="I183" s="21"/>
      <c r="J183" s="415" t="str">
        <f>IF(VLOOKUP(GAS!N183,'GAS ASCII'!$B$2:$D$200,3)&gt;=500000,VLOOKUP(GAS!N183,'GAS ASCII'!$B$2:$D$200,3)/-1000000,IF(VLOOKUP(GAS!N183,'GAS ASCII'!$B$2:$D$200,3)&lt;=0,"……………….","*"))</f>
        <v>……………….</v>
      </c>
      <c r="K183" s="27"/>
      <c r="L183" s="415">
        <f>IF(VLOOKUP(GAS!N183,'GAS ASCII'!$B$2:$E$200,4)&gt;=500000,VLOOKUP(GAS!N183,'GAS ASCII'!$B$2:$E$200,4)/1000000,IF(VLOOKUP(GAS!N183,'GAS ASCII'!$B$2:$E$200,4)&lt;=0,"……………….","*"))</f>
        <v>73.145</v>
      </c>
      <c r="M183" s="21"/>
      <c r="N183" t="s">
        <v>318</v>
      </c>
      <c r="O183" s="288"/>
    </row>
    <row r="184" spans="3:15" ht="15.75" customHeight="1">
      <c r="C184" s="9" t="s">
        <v>171</v>
      </c>
      <c r="H184" s="415">
        <f>IF(VLOOKUP(GAS!N184,'GAS ASCII'!$B$2:$C$200,2)&gt;=500000,VLOOKUP(GAS!N184,'GAS ASCII'!$B$2:$C$200,2)/1000000,IF(VLOOKUP(GAS!N184,'GAS ASCII'!$B$2:$C$200,2)&lt;=0,"……………….","*"))</f>
        <v>1.78</v>
      </c>
      <c r="I184" s="21"/>
      <c r="J184" s="415" t="str">
        <f>IF(VLOOKUP(GAS!N184,'GAS ASCII'!$B$2:$D$200,3)&gt;=500000,VLOOKUP(GAS!N184,'GAS ASCII'!$B$2:$D$200,3)/-1000000,IF(VLOOKUP(GAS!N184,'GAS ASCII'!$B$2:$D$200,3)&lt;=0,"……………….","*"))</f>
        <v>……………….</v>
      </c>
      <c r="K184" s="27"/>
      <c r="L184" s="415">
        <f>IF(VLOOKUP(GAS!N184,'GAS ASCII'!$B$2:$E$200,4)&gt;=500000,VLOOKUP(GAS!N184,'GAS ASCII'!$B$2:$E$200,4)/1000000,IF(VLOOKUP(GAS!N184,'GAS ASCII'!$B$2:$E$200,4)&lt;=0,"……………….","*"))</f>
        <v>1.78</v>
      </c>
      <c r="M184" s="21"/>
      <c r="N184" t="s">
        <v>320</v>
      </c>
      <c r="O184" s="288"/>
    </row>
    <row r="185" spans="3:15" ht="15.75" customHeight="1">
      <c r="C185" s="9" t="s">
        <v>619</v>
      </c>
      <c r="H185" s="415" t="str">
        <f>IF(VLOOKUP(GAS!N185,'GAS ASCII'!$B$2:$C$200,2)&gt;=500000,VLOOKUP(GAS!N185,'GAS ASCII'!$B$2:$C$200,2)/1000000,IF(VLOOKUP(GAS!N185,'GAS ASCII'!$B$2:$C$200,2)&lt;=0,"……………….","*"))</f>
        <v>*</v>
      </c>
      <c r="I185" s="21"/>
      <c r="J185" s="415" t="str">
        <f>IF(VLOOKUP(GAS!N185,'GAS ASCII'!$B$2:$D$200,3)&gt;=500000,VLOOKUP(GAS!N185,'GAS ASCII'!$B$2:$D$200,3)/-1000000,IF(VLOOKUP(GAS!N185,'GAS ASCII'!$B$2:$D$200,3)&lt;=0,"……………….","*"))</f>
        <v>……………….</v>
      </c>
      <c r="K185" s="27"/>
      <c r="L185" s="415" t="str">
        <f>IF(VLOOKUP(GAS!N185,'GAS ASCII'!$B$2:$E$200,4)&gt;=500000,VLOOKUP(GAS!N185,'GAS ASCII'!$B$2:$E$200,4)/1000000,IF(VLOOKUP(GAS!N185,'GAS ASCII'!$B$2:$E$200,4)&lt;=0,"……………….","*"))</f>
        <v>*</v>
      </c>
      <c r="M185" s="21"/>
      <c r="N185" t="s">
        <v>322</v>
      </c>
      <c r="O185" s="288"/>
    </row>
    <row r="186" spans="3:15" ht="15.75" customHeight="1">
      <c r="C186" s="9" t="s">
        <v>555</v>
      </c>
      <c r="H186" s="415">
        <f>IF(VLOOKUP(GAS!N186,'GAS ASCII'!$B$2:$C$200,2)&gt;=500000,VLOOKUP(GAS!N186,'GAS ASCII'!$B$2:$C$200,2)/1000000,IF(VLOOKUP(GAS!N186,'GAS ASCII'!$B$2:$C$200,2)&lt;=0,"……………….","*"))</f>
        <v>715.229</v>
      </c>
      <c r="I186" s="21"/>
      <c r="J186" s="415" t="str">
        <f>IF(VLOOKUP(GAS!N186,'GAS ASCII'!$B$2:$D$200,3)&gt;=500000,VLOOKUP(GAS!N186,'GAS ASCII'!$B$2:$D$200,3)/-1000000,IF(VLOOKUP(GAS!N186,'GAS ASCII'!$B$2:$D$200,3)&lt;=0,"……………….","*"))</f>
        <v>*</v>
      </c>
      <c r="K186" s="3"/>
      <c r="L186" s="415">
        <f>IF(VLOOKUP(GAS!N186,'GAS ASCII'!$B$2:$E$200,4)&gt;=500000,VLOOKUP(GAS!N186,'GAS ASCII'!$B$2:$E$200,4)/1000000,IF(VLOOKUP(GAS!N186,'GAS ASCII'!$B$2:$E$200,4)&lt;=0,"……………….","*"))</f>
        <v>715.087</v>
      </c>
      <c r="M186" s="21"/>
      <c r="N186" t="s">
        <v>324</v>
      </c>
      <c r="O186" s="288"/>
    </row>
    <row r="187" spans="3:15" ht="15.75" customHeight="1">
      <c r="C187" s="9" t="s">
        <v>565</v>
      </c>
      <c r="H187" s="415">
        <f>IF(VLOOKUP(GAS!N187,'GAS ASCII'!$B$2:$C$200,2)&gt;=500000,VLOOKUP(GAS!N187,'GAS ASCII'!$B$2:$C$200,2)/1000000,IF(VLOOKUP(GAS!N187,'GAS ASCII'!$B$2:$C$200,2)&lt;=0,"……………….","*"))</f>
        <v>19646.259476900002</v>
      </c>
      <c r="I187" s="21"/>
      <c r="J187" s="415">
        <f>IF(VLOOKUP(GAS!N187,'GAS ASCII'!$B$2:$D$200,3)&gt;=500000,VLOOKUP(GAS!N187,'GAS ASCII'!$B$2:$D$200,3)/-1000000,IF(VLOOKUP(GAS!N187,'GAS ASCII'!$B$2:$D$200,3)&lt;=0,"……………….","*"))</f>
        <v>-6992.402</v>
      </c>
      <c r="K187" s="21"/>
      <c r="L187" s="415">
        <f>IF(VLOOKUP(GAS!N187,'GAS ASCII'!$B$2:$E$200,4)&gt;=500000,VLOOKUP(GAS!N187,'GAS ASCII'!$B$2:$E$200,4)/1000000,IF(VLOOKUP(GAS!N187,'GAS ASCII'!$B$2:$E$200,4)&lt;=0,"……………….","*"))</f>
        <v>12653.857476899999</v>
      </c>
      <c r="M187" s="21"/>
      <c r="N187" t="s">
        <v>326</v>
      </c>
      <c r="O187" s="288"/>
    </row>
    <row r="188" spans="3:15" ht="15.75" customHeight="1">
      <c r="C188" s="9" t="s">
        <v>491</v>
      </c>
      <c r="H188" s="415">
        <f>IF(VLOOKUP(GAS!N188,'GAS ASCII'!$B$2:$C$200,2)&gt;=500000,VLOOKUP(GAS!N188,'GAS ASCII'!$B$2:$C$200,2)/1000000,IF(VLOOKUP(GAS!N188,'GAS ASCII'!$B$2:$C$200,2)&lt;=0,"……………….","*"))</f>
        <v>6.35</v>
      </c>
      <c r="I188" s="21"/>
      <c r="J188" s="415" t="str">
        <f>IF(VLOOKUP(GAS!N188,'GAS ASCII'!$B$2:$D$200,3)&gt;=500000,VLOOKUP(GAS!N188,'GAS ASCII'!$B$2:$D$200,3)/-1000000,IF(VLOOKUP(GAS!N188,'GAS ASCII'!$B$2:$D$200,3)&lt;=0,"……………….","*"))</f>
        <v>……………….</v>
      </c>
      <c r="K188" s="27"/>
      <c r="L188" s="415">
        <f>IF(VLOOKUP(GAS!N188,'GAS ASCII'!$B$2:$E$200,4)&gt;=500000,VLOOKUP(GAS!N188,'GAS ASCII'!$B$2:$E$200,4)/1000000,IF(VLOOKUP(GAS!N188,'GAS ASCII'!$B$2:$E$200,4)&lt;=0,"……………….","*"))</f>
        <v>6.35</v>
      </c>
      <c r="M188" s="21"/>
      <c r="N188" t="s">
        <v>328</v>
      </c>
      <c r="O188" s="288"/>
    </row>
    <row r="189" spans="3:15" ht="15.75" customHeight="1">
      <c r="C189" s="9" t="s">
        <v>599</v>
      </c>
      <c r="H189" s="415">
        <f>IF(VLOOKUP(GAS!N189,'GAS ASCII'!$B$2:$C$200,2)&gt;=500000,VLOOKUP(GAS!N189,'GAS ASCII'!$B$2:$C$200,2)/1000000,IF(VLOOKUP(GAS!N189,'GAS ASCII'!$B$2:$C$200,2)&lt;=0,"……………….","*"))</f>
        <v>550</v>
      </c>
      <c r="I189" s="21"/>
      <c r="J189" s="415" t="str">
        <f>IF(VLOOKUP(GAS!N189,'GAS ASCII'!$B$2:$D$200,3)&gt;=500000,VLOOKUP(GAS!N189,'GAS ASCII'!$B$2:$D$200,3)/-1000000,IF(VLOOKUP(GAS!N189,'GAS ASCII'!$B$2:$D$200,3)&lt;=0,"……………….","*"))</f>
        <v>……………….</v>
      </c>
      <c r="K189" s="27"/>
      <c r="L189" s="415">
        <f>IF(VLOOKUP(GAS!N189,'GAS ASCII'!$B$2:$E$200,4)&gt;=500000,VLOOKUP(GAS!N189,'GAS ASCII'!$B$2:$E$200,4)/1000000,IF(VLOOKUP(GAS!N189,'GAS ASCII'!$B$2:$E$200,4)&lt;=0,"……………….","*"))</f>
        <v>550</v>
      </c>
      <c r="M189" s="21"/>
      <c r="N189" t="s">
        <v>330</v>
      </c>
      <c r="O189" s="288"/>
    </row>
    <row r="190" spans="3:15" ht="15.75" customHeight="1">
      <c r="C190" s="9" t="s">
        <v>620</v>
      </c>
      <c r="H190" s="415">
        <f>IF(VLOOKUP(GAS!N190,'GAS ASCII'!$B$2:$C$200,2)&gt;=500000,VLOOKUP(GAS!N190,'GAS ASCII'!$B$2:$C$200,2)/1000000,IF(VLOOKUP(GAS!N190,'GAS ASCII'!$B$2:$C$200,2)&lt;=0,"……………….","*"))</f>
        <v>42.07</v>
      </c>
      <c r="I190" s="21"/>
      <c r="J190" s="415" t="str">
        <f>IF(VLOOKUP(GAS!N190,'GAS ASCII'!$B$2:$D$200,3)&gt;=500000,VLOOKUP(GAS!N190,'GAS ASCII'!$B$2:$D$200,3)/-1000000,IF(VLOOKUP(GAS!N190,'GAS ASCII'!$B$2:$D$200,3)&lt;=0,"……………….","*"))</f>
        <v>……………….</v>
      </c>
      <c r="K190" s="27"/>
      <c r="L190" s="415">
        <f>IF(VLOOKUP(GAS!N190,'GAS ASCII'!$B$2:$E$200,4)&gt;=500000,VLOOKUP(GAS!N190,'GAS ASCII'!$B$2:$E$200,4)/1000000,IF(VLOOKUP(GAS!N190,'GAS ASCII'!$B$2:$E$200,4)&lt;=0,"……………….","*"))</f>
        <v>42.07</v>
      </c>
      <c r="M190" s="21"/>
      <c r="N190" t="s">
        <v>332</v>
      </c>
      <c r="O190" s="288"/>
    </row>
    <row r="191" spans="3:15" ht="15.75" customHeight="1">
      <c r="C191" s="9" t="s">
        <v>26</v>
      </c>
      <c r="H191" s="415" t="str">
        <f>IF(VLOOKUP(GAS!N191,'GAS ASCII'!$B$2:$C$200,2)&gt;=500000,VLOOKUP(GAS!N191,'GAS ASCII'!$B$2:$C$200,2)/1000000,IF(VLOOKUP(GAS!N191,'GAS ASCII'!$B$2:$C$200,2)&lt;=0,"……………….","*"))</f>
        <v>*</v>
      </c>
      <c r="I191" s="21"/>
      <c r="J191" s="415" t="str">
        <f>IF(VLOOKUP(GAS!N191,'GAS ASCII'!$B$2:$D$200,3)&gt;=500000,VLOOKUP(GAS!N191,'GAS ASCII'!$B$2:$D$200,3)/-1000000,IF(VLOOKUP(GAS!N191,'GAS ASCII'!$B$2:$D$200,3)&lt;=0,"……………….","*"))</f>
        <v>……………….</v>
      </c>
      <c r="K191" s="27"/>
      <c r="L191" s="415" t="str">
        <f>IF(VLOOKUP(GAS!N191,'GAS ASCII'!$B$2:$E$200,4)&gt;=500000,VLOOKUP(GAS!N191,'GAS ASCII'!$B$2:$E$200,4)/1000000,IF(VLOOKUP(GAS!N191,'GAS ASCII'!$B$2:$E$200,4)&lt;=0,"……………….","*"))</f>
        <v>*</v>
      </c>
      <c r="M191" s="21"/>
      <c r="N191" t="s">
        <v>334</v>
      </c>
      <c r="O191" s="288"/>
    </row>
    <row r="192" spans="1:15" ht="15.75" customHeight="1" thickBot="1">
      <c r="A192" s="100"/>
      <c r="B192" s="100"/>
      <c r="C192" s="102"/>
      <c r="D192" s="100"/>
      <c r="E192" s="100"/>
      <c r="F192" s="100"/>
      <c r="G192" s="100"/>
      <c r="H192" s="422"/>
      <c r="I192" s="103"/>
      <c r="J192" s="422"/>
      <c r="K192" s="104"/>
      <c r="L192" s="422"/>
      <c r="M192" s="103"/>
      <c r="O192" s="288"/>
    </row>
    <row r="193" spans="1:13" ht="16.5" customHeight="1" thickTop="1">
      <c r="A193" s="59"/>
      <c r="B193" s="2" t="str">
        <f>(Marketable!B86)</f>
        <v>TABLE III - DETAIL OF TREASURY SECURITIES OUTSTANDING, JANUARY 31, 2004 -- Continued</v>
      </c>
      <c r="C193" s="2"/>
      <c r="D193" s="2"/>
      <c r="E193" s="3"/>
      <c r="F193" s="3"/>
      <c r="G193" s="3"/>
      <c r="H193" s="3"/>
      <c r="I193" s="29"/>
      <c r="J193" s="3"/>
      <c r="K193" s="3"/>
      <c r="L193" s="3"/>
      <c r="M193" s="99">
        <v>9</v>
      </c>
    </row>
    <row r="194" spans="1:13" ht="10.5" customHeight="1" thickBot="1">
      <c r="A194" s="59"/>
      <c r="B194" s="59"/>
      <c r="C194" s="7"/>
      <c r="D194" s="2"/>
      <c r="E194" s="3"/>
      <c r="F194" s="3"/>
      <c r="G194" s="3"/>
      <c r="H194" s="3"/>
      <c r="I194" s="29"/>
      <c r="J194" s="3"/>
      <c r="K194" s="3"/>
      <c r="L194" s="3"/>
      <c r="M194" s="58"/>
    </row>
    <row r="195" spans="1:13" ht="15.75" customHeight="1" thickTop="1">
      <c r="A195" s="32"/>
      <c r="B195" s="32"/>
      <c r="C195" s="32"/>
      <c r="D195" s="32"/>
      <c r="E195" s="32"/>
      <c r="F195" s="32"/>
      <c r="G195" s="32"/>
      <c r="H195" s="26"/>
      <c r="I195" s="32"/>
      <c r="J195" s="32"/>
      <c r="K195" s="32"/>
      <c r="L195" s="32"/>
      <c r="M195" s="32"/>
    </row>
    <row r="196" spans="8:13" ht="15.75" customHeight="1">
      <c r="H196" s="16" t="s">
        <v>451</v>
      </c>
      <c r="I196" s="3"/>
      <c r="J196" s="3"/>
      <c r="K196" s="3"/>
      <c r="L196" s="3"/>
      <c r="M196" s="3"/>
    </row>
    <row r="197" spans="1:13" ht="15.75" customHeight="1">
      <c r="A197" s="3" t="s">
        <v>452</v>
      </c>
      <c r="B197" s="3"/>
      <c r="C197" s="3"/>
      <c r="D197" s="3"/>
      <c r="E197" s="3"/>
      <c r="F197" s="3"/>
      <c r="G197" s="3"/>
      <c r="H197" s="16" t="s">
        <v>13</v>
      </c>
      <c r="I197" s="3"/>
      <c r="J197" s="3"/>
      <c r="K197" s="3"/>
      <c r="L197" s="3"/>
      <c r="M197" s="3"/>
    </row>
    <row r="198" spans="1:13" ht="16.5" customHeight="1">
      <c r="A198" s="15"/>
      <c r="B198" s="15"/>
      <c r="C198" s="15"/>
      <c r="D198" s="15"/>
      <c r="E198" s="15"/>
      <c r="F198" s="15"/>
      <c r="G198" s="15"/>
      <c r="H198" s="37" t="s">
        <v>456</v>
      </c>
      <c r="I198" s="38"/>
      <c r="J198" s="37" t="s">
        <v>923</v>
      </c>
      <c r="K198" s="38"/>
      <c r="L198" s="37" t="s">
        <v>16</v>
      </c>
      <c r="M198" s="38"/>
    </row>
    <row r="199" spans="8:12" ht="15.75" customHeight="1">
      <c r="H199" s="14"/>
      <c r="J199" s="14"/>
      <c r="L199" s="14"/>
    </row>
    <row r="200" spans="2:12" ht="18" customHeight="1">
      <c r="B200" s="7" t="s">
        <v>806</v>
      </c>
      <c r="E200" s="43"/>
      <c r="H200" s="14"/>
      <c r="J200" s="14"/>
      <c r="L200" s="14"/>
    </row>
    <row r="201" spans="2:15" ht="18" customHeight="1">
      <c r="B201" s="78" t="s">
        <v>261</v>
      </c>
      <c r="E201" s="43"/>
      <c r="H201" s="14"/>
      <c r="J201" s="14"/>
      <c r="L201" s="14"/>
      <c r="O201" s="288"/>
    </row>
    <row r="202" spans="3:15" ht="15.75" customHeight="1">
      <c r="C202" s="9" t="s">
        <v>439</v>
      </c>
      <c r="H202" s="415">
        <f>IF(VLOOKUP(GAS!N202,'GAS ASCII'!$B$2:$C$200,2)&gt;=500000,VLOOKUP(GAS!N202,'GAS ASCII'!$B$2:$C$200,2)/1000000,IF(VLOOKUP(GAS!N202,'GAS ASCII'!$B$2:$C$200,2)&lt;=0,"……………….","*"))</f>
        <v>155.9</v>
      </c>
      <c r="I202" s="21"/>
      <c r="J202" s="415" t="str">
        <f>IF(VLOOKUP(GAS!N202,'GAS ASCII'!$B$2:$D$200,3)&gt;=500000,VLOOKUP(GAS!N202,'GAS ASCII'!$B$2:$D$200,3)/-1000000,IF(VLOOKUP(GAS!N202,'GAS ASCII'!$B$2:$D$200,3)&lt;=0,"……………….","*"))</f>
        <v>……………….</v>
      </c>
      <c r="K202" s="27"/>
      <c r="L202" s="415">
        <f>IF(VLOOKUP(GAS!N202,'GAS ASCII'!$B$2:$E$200,4)&gt;=500000,VLOOKUP(GAS!N202,'GAS ASCII'!$B$2:$E$200,4)/1000000,IF(VLOOKUP(GAS!N202,'GAS ASCII'!$B$2:$E$200,4)&lt;=0,"……………….","*"))</f>
        <v>155.9</v>
      </c>
      <c r="M202" s="21"/>
      <c r="N202" t="s">
        <v>336</v>
      </c>
      <c r="O202" s="288"/>
    </row>
    <row r="203" spans="3:15" ht="15.75" customHeight="1">
      <c r="C203" s="9" t="s">
        <v>1098</v>
      </c>
      <c r="H203" s="415">
        <f>IF(VLOOKUP(GAS!N203,'GAS ASCII'!$B$2:$C$200,2)&gt;=500000,VLOOKUP(GAS!N203,'GAS ASCII'!$B$2:$C$200,2)/1000000,IF(VLOOKUP(GAS!N203,'GAS ASCII'!$B$2:$C$200,2)&lt;=0,"……………….","*"))</f>
        <v>124.22231024</v>
      </c>
      <c r="I203" s="21"/>
      <c r="J203" s="415" t="str">
        <f>IF(VLOOKUP(GAS!N203,'GAS ASCII'!$B$2:$D$200,3)&gt;=500000,VLOOKUP(GAS!N203,'GAS ASCII'!$B$2:$D$200,3)/-1000000,IF(VLOOKUP(GAS!N203,'GAS ASCII'!$B$2:$D$200,3)&lt;=0,"……………….","*"))</f>
        <v>……………….</v>
      </c>
      <c r="K203" s="27"/>
      <c r="L203" s="415">
        <f>IF(VLOOKUP(GAS!N203,'GAS ASCII'!$B$2:$E$200,4)&gt;=500000,VLOOKUP(GAS!N203,'GAS ASCII'!$B$2:$E$200,4)/1000000,IF(VLOOKUP(GAS!N203,'GAS ASCII'!$B$2:$E$200,4)&lt;=0,"……………….","*"))</f>
        <v>124.22231024</v>
      </c>
      <c r="M203" s="21"/>
      <c r="N203" t="s">
        <v>338</v>
      </c>
      <c r="O203" s="288"/>
    </row>
    <row r="204" spans="3:15" ht="15.75" customHeight="1">
      <c r="C204" s="9" t="s">
        <v>568</v>
      </c>
      <c r="H204" s="415"/>
      <c r="I204" s="21"/>
      <c r="J204" s="415"/>
      <c r="K204" s="27"/>
      <c r="L204" s="415"/>
      <c r="M204" s="21"/>
      <c r="O204" s="288"/>
    </row>
    <row r="205" spans="3:15" ht="15.75" customHeight="1">
      <c r="C205" s="9" t="s">
        <v>621</v>
      </c>
      <c r="H205" s="415">
        <f>IF(VLOOKUP(GAS!N205,'GAS ASCII'!$B$2:$C$200,2)&gt;=500000,VLOOKUP(GAS!N205,'GAS ASCII'!$B$2:$C$200,2)/1000000,IF(VLOOKUP(GAS!N205,'GAS ASCII'!$B$2:$C$200,2)&lt;=0,"……………….","*"))</f>
        <v>2.831</v>
      </c>
      <c r="I205" s="21"/>
      <c r="J205" s="415" t="str">
        <f>IF(VLOOKUP(GAS!N205,'GAS ASCII'!$B$2:$D$200,3)&gt;=500000,VLOOKUP(GAS!N205,'GAS ASCII'!$B$2:$D$200,3)/-1000000,IF(VLOOKUP(GAS!N205,'GAS ASCII'!$B$2:$D$200,3)&lt;=0,"……………….","*"))</f>
        <v>……………….</v>
      </c>
      <c r="K205" s="27"/>
      <c r="L205" s="415">
        <f>IF(VLOOKUP(GAS!N205,'GAS ASCII'!$B$2:$E$200,4)&gt;=500000,VLOOKUP(GAS!N205,'GAS ASCII'!$B$2:$E$200,4)/1000000,IF(VLOOKUP(GAS!N205,'GAS ASCII'!$B$2:$E$200,4)&lt;=0,"……………….","*"))</f>
        <v>2.831</v>
      </c>
      <c r="M205" s="21"/>
      <c r="N205" t="s">
        <v>340</v>
      </c>
      <c r="O205" s="288"/>
    </row>
    <row r="206" spans="3:15" ht="15.75" customHeight="1">
      <c r="C206" s="9"/>
      <c r="H206" s="415"/>
      <c r="I206" s="21"/>
      <c r="J206" s="415"/>
      <c r="K206" s="27"/>
      <c r="L206" s="415"/>
      <c r="M206" s="21"/>
      <c r="O206" s="288"/>
    </row>
    <row r="207" spans="3:15" ht="15.75" customHeight="1">
      <c r="C207" s="9" t="s">
        <v>624</v>
      </c>
      <c r="H207" s="415">
        <f>IF(VLOOKUP(GAS!N207,'GAS ASCII'!$B$2:$C$200,2)&gt;=500000,VLOOKUP(GAS!N207,'GAS ASCII'!$B$2:$C$200,2)/1000000,IF(VLOOKUP(GAS!N207,'GAS ASCII'!$B$2:$C$200,2)&lt;=0,"……………….","*"))</f>
        <v>1144.561</v>
      </c>
      <c r="I207" s="21"/>
      <c r="J207" s="415">
        <f>IF(VLOOKUP(GAS!N207,'GAS ASCII'!$B$2:$D$200,3)&gt;=500000,VLOOKUP(GAS!N207,'GAS ASCII'!$B$2:$D$200,3)/-1000000,IF(VLOOKUP(GAS!N207,'GAS ASCII'!$B$2:$D$200,3)&lt;=0,"……………….","*"))</f>
        <v>-482.648</v>
      </c>
      <c r="K207" s="21"/>
      <c r="L207" s="415">
        <f>IF(VLOOKUP(GAS!N207,'GAS ASCII'!$B$2:$E$200,4)&gt;=500000,VLOOKUP(GAS!N207,'GAS ASCII'!$B$2:$E$200,4)/1000000,IF(VLOOKUP(GAS!N207,'GAS ASCII'!$B$2:$E$200,4)&lt;=0,"……………….","*"))</f>
        <v>661.913</v>
      </c>
      <c r="M207" s="21"/>
      <c r="N207" t="s">
        <v>342</v>
      </c>
      <c r="O207" s="288"/>
    </row>
    <row r="208" spans="3:15" ht="15.75" customHeight="1">
      <c r="C208" s="9" t="s">
        <v>569</v>
      </c>
      <c r="H208" s="415"/>
      <c r="I208" s="21"/>
      <c r="J208" s="415"/>
      <c r="K208" s="27"/>
      <c r="L208" s="415"/>
      <c r="M208" s="21"/>
      <c r="O208" s="288"/>
    </row>
    <row r="209" spans="3:15" ht="15.75" customHeight="1">
      <c r="C209" s="9" t="s">
        <v>644</v>
      </c>
      <c r="H209" s="415">
        <f>IF(VLOOKUP(GAS!N209,'GAS ASCII'!$B$2:$C$200,2)&gt;=500000,VLOOKUP(GAS!N209,'GAS ASCII'!$B$2:$C$200,2)/1000000,IF(VLOOKUP(GAS!N209,'GAS ASCII'!$B$2:$C$200,2)&lt;=0,"……………….","*"))</f>
        <v>19.268</v>
      </c>
      <c r="I209" s="21"/>
      <c r="J209" s="415" t="str">
        <f>IF(VLOOKUP(GAS!N209,'GAS ASCII'!$B$2:$D$200,3)&gt;=500000,VLOOKUP(GAS!N209,'GAS ASCII'!$B$2:$D$200,3)/-1000000,IF(VLOOKUP(GAS!N209,'GAS ASCII'!$B$2:$D$200,3)&lt;=0,"……………….","*"))</f>
        <v>……………….</v>
      </c>
      <c r="K209" s="27"/>
      <c r="L209" s="415">
        <f>IF(VLOOKUP(GAS!N209,'GAS ASCII'!$B$2:$E$200,4)&gt;=500000,VLOOKUP(GAS!N209,'GAS ASCII'!$B$2:$E$200,4)/1000000,IF(VLOOKUP(GAS!N209,'GAS ASCII'!$B$2:$E$200,4)&lt;=0,"……………….","*"))</f>
        <v>19.268</v>
      </c>
      <c r="M209" s="21"/>
      <c r="N209" t="s">
        <v>344</v>
      </c>
      <c r="O209" s="288"/>
    </row>
    <row r="210" spans="3:15" ht="15.75" customHeight="1">
      <c r="C210" s="9" t="s">
        <v>570</v>
      </c>
      <c r="H210" s="415"/>
      <c r="I210" s="21"/>
      <c r="J210" s="415"/>
      <c r="K210" s="27"/>
      <c r="L210" s="415"/>
      <c r="M210" s="21"/>
      <c r="O210" s="288"/>
    </row>
    <row r="211" spans="3:15" ht="15.75" customHeight="1">
      <c r="C211" s="9" t="s">
        <v>645</v>
      </c>
      <c r="H211" s="415">
        <f>IF(VLOOKUP(GAS!N211,'GAS ASCII'!$B$2:$C$200,2)&gt;=500000,VLOOKUP(GAS!N211,'GAS ASCII'!$B$2:$C$200,2)/1000000,IF(VLOOKUP(GAS!N211,'GAS ASCII'!$B$2:$C$200,2)&lt;=0,"……………….","*"))</f>
        <v>1.001</v>
      </c>
      <c r="I211" s="21"/>
      <c r="J211" s="415" t="str">
        <f>IF(VLOOKUP(GAS!N211,'GAS ASCII'!$B$2:$D$200,3)&gt;=500000,VLOOKUP(GAS!N211,'GAS ASCII'!$B$2:$D$200,3)/-1000000,IF(VLOOKUP(GAS!N211,'GAS ASCII'!$B$2:$D$200,3)&lt;=0,"……………….","*"))</f>
        <v>……………….</v>
      </c>
      <c r="K211" s="27"/>
      <c r="L211" s="415">
        <f>IF(VLOOKUP(GAS!N211,'GAS ASCII'!$B$2:$E$200,4)&gt;=500000,VLOOKUP(GAS!N211,'GAS ASCII'!$B$2:$E$200,4)/1000000,IF(VLOOKUP(GAS!N211,'GAS ASCII'!$B$2:$E$200,4)&lt;=0,"……………….","*"))</f>
        <v>1.001</v>
      </c>
      <c r="M211" s="21"/>
      <c r="N211" t="s">
        <v>346</v>
      </c>
      <c r="O211" s="288"/>
    </row>
    <row r="212" spans="3:15" ht="15.75" customHeight="1">
      <c r="C212" s="9" t="s">
        <v>150</v>
      </c>
      <c r="H212" s="415">
        <f>IF(VLOOKUP(GAS!N212,'GAS ASCII'!$B$2:$C$200,2)&gt;=500000,VLOOKUP(GAS!N212,'GAS ASCII'!$B$2:$C$200,2)/1000000,IF(VLOOKUP(GAS!N212,'GAS ASCII'!$B$2:$C$200,2)&lt;=0,"……………….","*"))</f>
        <v>17.625</v>
      </c>
      <c r="I212" s="21"/>
      <c r="J212" s="415" t="str">
        <f>IF(VLOOKUP(GAS!N212,'GAS ASCII'!$B$2:$D$200,3)&gt;=500000,VLOOKUP(GAS!N212,'GAS ASCII'!$B$2:$D$200,3)/-1000000,IF(VLOOKUP(GAS!N212,'GAS ASCII'!$B$2:$D$200,3)&lt;=0,"……………….","*"))</f>
        <v>……………….</v>
      </c>
      <c r="K212" s="27"/>
      <c r="L212" s="415">
        <f>IF(VLOOKUP(GAS!N212,'GAS ASCII'!$B$2:$E$200,4)&gt;=500000,VLOOKUP(GAS!N212,'GAS ASCII'!$B$2:$E$200,4)/1000000,IF(VLOOKUP(GAS!N212,'GAS ASCII'!$B$2:$E$200,4)&lt;=0,"……………….","*"))</f>
        <v>17.625</v>
      </c>
      <c r="M212" s="21"/>
      <c r="N212" t="s">
        <v>147</v>
      </c>
      <c r="O212" s="288"/>
    </row>
    <row r="213" spans="3:15" ht="15.75" customHeight="1">
      <c r="C213" s="9" t="s">
        <v>489</v>
      </c>
      <c r="H213" s="415">
        <f>IF(VLOOKUP(GAS!N213,'GAS ASCII'!$B$2:$C$200,2)&gt;=500000,VLOOKUP(GAS!N213,'GAS ASCII'!$B$2:$C$200,2)/1000000,IF(VLOOKUP(GAS!N213,'GAS ASCII'!$B$2:$C$200,2)&lt;=0,"……………….","*"))</f>
        <v>2.51347762</v>
      </c>
      <c r="I213" s="21"/>
      <c r="J213" s="415" t="str">
        <f>IF(VLOOKUP(GAS!N213,'GAS ASCII'!$B$2:$D$200,3)&gt;=500000,VLOOKUP(GAS!N213,'GAS ASCII'!$B$2:$D$200,3)/-1000000,IF(VLOOKUP(GAS!N213,'GAS ASCII'!$B$2:$D$200,3)&lt;=0,"……………….","*"))</f>
        <v>……………….</v>
      </c>
      <c r="K213" s="27"/>
      <c r="L213" s="415">
        <f>IF(VLOOKUP(GAS!N213,'GAS ASCII'!$B$2:$E$200,4)&gt;=500000,VLOOKUP(GAS!N213,'GAS ASCII'!$B$2:$E$200,4)/1000000,IF(VLOOKUP(GAS!N213,'GAS ASCII'!$B$2:$E$200,4)&lt;=0,"……………….","*"))</f>
        <v>2.51347762</v>
      </c>
      <c r="M213" s="21"/>
      <c r="N213" t="s">
        <v>488</v>
      </c>
      <c r="O213" s="288"/>
    </row>
    <row r="214" spans="3:15" ht="15.75" customHeight="1">
      <c r="C214" s="9" t="s">
        <v>262</v>
      </c>
      <c r="H214" s="415"/>
      <c r="I214" s="21"/>
      <c r="J214" s="415"/>
      <c r="K214" s="27"/>
      <c r="L214" s="415"/>
      <c r="M214" s="21"/>
      <c r="O214" s="288"/>
    </row>
    <row r="215" spans="3:15" ht="15.75" customHeight="1">
      <c r="C215" s="9" t="s">
        <v>586</v>
      </c>
      <c r="H215" s="415">
        <f>IF(VLOOKUP(GAS!N215,'GAS ASCII'!$B$2:$C$200,2)&gt;=500000,VLOOKUP(GAS!N215,'GAS ASCII'!$B$2:$C$200,2)/1000000,IF(VLOOKUP(GAS!N215,'GAS ASCII'!$B$2:$C$200,2)&lt;=0,"……………….","*"))</f>
        <v>2.06</v>
      </c>
      <c r="I215" s="21"/>
      <c r="J215" s="415" t="str">
        <f>IF(VLOOKUP(GAS!N215,'GAS ASCII'!$B$2:$D$200,3)&gt;=500000,VLOOKUP(GAS!N215,'GAS ASCII'!$B$2:$D$200,3)/-1000000,IF(VLOOKUP(GAS!N215,'GAS ASCII'!$B$2:$D$200,3)&lt;=0,"……………….","*"))</f>
        <v>……………….</v>
      </c>
      <c r="K215" s="27"/>
      <c r="L215" s="415">
        <f>IF(VLOOKUP(GAS!N215,'GAS ASCII'!$B$2:$E$200,4)&gt;=500000,VLOOKUP(GAS!N215,'GAS ASCII'!$B$2:$E$200,4)/1000000,IF(VLOOKUP(GAS!N215,'GAS ASCII'!$B$2:$E$200,4)&lt;=0,"……………….","*"))</f>
        <v>2.06</v>
      </c>
      <c r="M215" s="21"/>
      <c r="N215" t="s">
        <v>348</v>
      </c>
      <c r="O215" s="288"/>
    </row>
    <row r="216" spans="3:15" ht="15.75" customHeight="1">
      <c r="C216" s="9" t="s">
        <v>1099</v>
      </c>
      <c r="H216" s="415">
        <f>IF(VLOOKUP(GAS!N216,'GAS ASCII'!$B$2:$C$200,2)&gt;=500000,VLOOKUP(GAS!N216,'GAS ASCII'!$B$2:$C$200,2)/1000000,IF(VLOOKUP(GAS!N216,'GAS ASCII'!$B$2:$C$200,2)&lt;=0,"……………….","*"))</f>
        <v>25.469</v>
      </c>
      <c r="I216" s="21"/>
      <c r="J216" s="415" t="str">
        <f>IF(VLOOKUP(GAS!N216,'GAS ASCII'!$B$2:$D$200,3)&gt;=500000,VLOOKUP(GAS!N216,'GAS ASCII'!$B$2:$D$200,3)/-1000000,IF(VLOOKUP(GAS!N216,'GAS ASCII'!$B$2:$D$200,3)&lt;=0,"……………….","*"))</f>
        <v>……………….</v>
      </c>
      <c r="K216" s="27"/>
      <c r="L216" s="415">
        <f>IF(VLOOKUP(GAS!N216,'GAS ASCII'!$B$2:$E$200,4)&gt;=500000,VLOOKUP(GAS!N216,'GAS ASCII'!$B$2:$E$200,4)/1000000,IF(VLOOKUP(GAS!N216,'GAS ASCII'!$B$2:$E$200,4)&lt;=0,"……………….","*"))</f>
        <v>25.469</v>
      </c>
      <c r="M216" s="21"/>
      <c r="N216" t="s">
        <v>350</v>
      </c>
      <c r="O216" s="288"/>
    </row>
    <row r="217" spans="3:15" ht="15.75" customHeight="1">
      <c r="C217" s="9"/>
      <c r="H217" s="415"/>
      <c r="I217" s="21"/>
      <c r="J217" s="415"/>
      <c r="K217" s="27"/>
      <c r="L217" s="415"/>
      <c r="M217" s="21"/>
      <c r="O217" s="288"/>
    </row>
    <row r="218" spans="3:15" ht="15.75" customHeight="1">
      <c r="C218" s="9" t="s">
        <v>571</v>
      </c>
      <c r="H218" s="415">
        <f>IF(VLOOKUP(GAS!N218,'GAS ASCII'!$B$2:$C$200,2)&gt;=500000,VLOOKUP(GAS!N218,'GAS ASCII'!$B$2:$C$200,2)/1000000,IF(VLOOKUP(GAS!N218,'GAS ASCII'!$B$2:$C$200,2)&lt;=0,"……………….","*"))</f>
        <v>12082.46925</v>
      </c>
      <c r="I218" s="21"/>
      <c r="J218" s="415">
        <f>IF(VLOOKUP(GAS!N218,'GAS ASCII'!$B$2:$D$200,3)&gt;=500000,VLOOKUP(GAS!N218,'GAS ASCII'!$B$2:$D$200,3)/-1000000,IF(VLOOKUP(GAS!N218,'GAS ASCII'!$B$2:$D$200,3)&lt;=0,"……………….","*"))</f>
        <v>-660</v>
      </c>
      <c r="K218" s="27"/>
      <c r="L218" s="415">
        <f>IF(VLOOKUP(GAS!N218,'GAS ASCII'!$B$2:$E$200,4)&gt;=500000,VLOOKUP(GAS!N218,'GAS ASCII'!$B$2:$E$200,4)/1000000,IF(VLOOKUP(GAS!N218,'GAS ASCII'!$B$2:$E$200,4)&lt;=0,"……………….","*"))</f>
        <v>11422.46925</v>
      </c>
      <c r="M218" s="21"/>
      <c r="N218" t="s">
        <v>1031</v>
      </c>
      <c r="O218" s="288"/>
    </row>
    <row r="219" spans="3:15" ht="15.75" customHeight="1">
      <c r="C219" s="9" t="s">
        <v>572</v>
      </c>
      <c r="H219" s="415"/>
      <c r="I219" s="21"/>
      <c r="J219" s="415"/>
      <c r="K219" s="21"/>
      <c r="L219" s="415"/>
      <c r="M219" s="21"/>
      <c r="O219" s="288"/>
    </row>
    <row r="220" spans="3:15" ht="15.75" customHeight="1">
      <c r="C220" s="9" t="s">
        <v>647</v>
      </c>
      <c r="H220" s="415">
        <f>IF(VLOOKUP(GAS!N220,'GAS ASCII'!$B$2:$C$200,2)&gt;=500000,VLOOKUP(GAS!N220,'GAS ASCII'!$B$2:$C$200,2)/1000000,IF(VLOOKUP(GAS!N220,'GAS ASCII'!$B$2:$C$200,2)&lt;=0,"……………….","*"))</f>
        <v>13.138</v>
      </c>
      <c r="I220" s="21"/>
      <c r="J220" s="415" t="str">
        <f>IF(VLOOKUP(GAS!N220,'GAS ASCII'!$B$2:$D$200,3)&gt;=500000,VLOOKUP(GAS!N220,'GAS ASCII'!$B$2:$D$200,3)/-1000000,IF(VLOOKUP(GAS!N220,'GAS ASCII'!$B$2:$D$200,3)&lt;=0,"……………….","*"))</f>
        <v>……………….</v>
      </c>
      <c r="K220" s="27"/>
      <c r="L220" s="415">
        <f>IF(VLOOKUP(GAS!N220,'GAS ASCII'!$B$2:$E$200,4)&gt;=500000,VLOOKUP(GAS!N220,'GAS ASCII'!$B$2:$E$200,4)/1000000,IF(VLOOKUP(GAS!N220,'GAS ASCII'!$B$2:$E$200,4)&lt;=0,"……………….","*"))</f>
        <v>13.138</v>
      </c>
      <c r="M220" s="21"/>
      <c r="N220" t="s">
        <v>1033</v>
      </c>
      <c r="O220" s="288"/>
    </row>
    <row r="221" spans="3:15" ht="15.75" customHeight="1">
      <c r="C221" s="9" t="s">
        <v>1073</v>
      </c>
      <c r="H221" s="415">
        <f>IF(VLOOKUP(GAS!N221,'GAS ASCII'!$B$2:$C$200,2)&gt;=500000,VLOOKUP(GAS!N221,'GAS ASCII'!$B$2:$C$200,2)/1000000,IF(VLOOKUP(GAS!N221,'GAS ASCII'!$B$2:$C$200,2)&lt;=0,"……………….","*"))</f>
        <v>353.691</v>
      </c>
      <c r="I221" s="21"/>
      <c r="J221" s="415" t="str">
        <f>IF(VLOOKUP(GAS!N221,'GAS ASCII'!$B$2:$D$200,3)&gt;=500000,VLOOKUP(GAS!N221,'GAS ASCII'!$B$2:$D$200,3)/-1000000,IF(VLOOKUP(GAS!N221,'GAS ASCII'!$B$2:$D$200,3)&lt;=0,"……………….","*"))</f>
        <v>……………….</v>
      </c>
      <c r="K221" s="27"/>
      <c r="L221" s="415">
        <f>IF(VLOOKUP(GAS!N221,'GAS ASCII'!$B$2:$E$200,4)&gt;=500000,VLOOKUP(GAS!N221,'GAS ASCII'!$B$2:$E$200,4)/1000000,IF(VLOOKUP(GAS!N221,'GAS ASCII'!$B$2:$E$200,4)&lt;=0,"……………….","*"))</f>
        <v>353.691</v>
      </c>
      <c r="M221" s="21"/>
      <c r="N221" t="s">
        <v>1035</v>
      </c>
      <c r="O221" s="288"/>
    </row>
    <row r="222" spans="3:15" ht="15.75" customHeight="1">
      <c r="C222" s="9" t="s">
        <v>417</v>
      </c>
      <c r="H222" s="415">
        <f>IF(VLOOKUP(GAS!N222,'GAS ASCII'!$B$2:$C$200,2)&gt;=500000,VLOOKUP(GAS!N222,'GAS ASCII'!$B$2:$C$200,2)/1000000,IF(VLOOKUP(GAS!N222,'GAS ASCII'!$B$2:$C$200,2)&lt;=0,"……………….","*"))</f>
        <v>0.502</v>
      </c>
      <c r="I222" s="21"/>
      <c r="J222" s="415" t="str">
        <f>IF(VLOOKUP(GAS!N222,'GAS ASCII'!$B$2:$D$200,3)&gt;=500000,VLOOKUP(GAS!N222,'GAS ASCII'!$B$2:$D$200,3)/-1000000,IF(VLOOKUP(GAS!N222,'GAS ASCII'!$B$2:$D$200,3)&lt;=0,"……………….","*"))</f>
        <v>……………….</v>
      </c>
      <c r="K222" s="27"/>
      <c r="L222" s="415">
        <f>IF(VLOOKUP(GAS!N222,'GAS ASCII'!$B$2:$E$200,4)&gt;=500000,VLOOKUP(GAS!N222,'GAS ASCII'!$B$2:$E$200,4)/1000000,IF(VLOOKUP(GAS!N222,'GAS ASCII'!$B$2:$E$200,4)&lt;=0,"……………….","*"))</f>
        <v>0.502</v>
      </c>
      <c r="M222" s="21"/>
      <c r="N222" t="s">
        <v>1037</v>
      </c>
      <c r="O222" s="288"/>
    </row>
    <row r="223" spans="3:15" ht="15.75" customHeight="1">
      <c r="C223" s="9" t="s">
        <v>573</v>
      </c>
      <c r="H223" s="415">
        <f>IF(VLOOKUP(GAS!N223,'GAS ASCII'!$B$2:$C$200,2)&gt;=500000,VLOOKUP(GAS!N223,'GAS ASCII'!$B$2:$C$200,2)/1000000,IF(VLOOKUP(GAS!N223,'GAS ASCII'!$B$2:$C$200,2)&lt;=0,"……………….","*"))</f>
        <v>7.006</v>
      </c>
      <c r="I223" s="21"/>
      <c r="J223" s="415">
        <f>IF(VLOOKUP(GAS!N223,'GAS ASCII'!$B$2:$D$200,3)&gt;=500000,VLOOKUP(GAS!N223,'GAS ASCII'!$B$2:$D$200,3)/-1000000,IF(VLOOKUP(GAS!N223,'GAS ASCII'!$B$2:$D$200,3)&lt;=0,"……………….","*"))</f>
        <v>-6.564</v>
      </c>
      <c r="K223" s="21"/>
      <c r="L223" s="415" t="str">
        <f>IF(VLOOKUP(GAS!N223,'GAS ASCII'!$B$2:$E$200,4)&gt;=500000,VLOOKUP(GAS!N223,'GAS ASCII'!$B$2:$E$200,4)/1000000,IF(VLOOKUP(GAS!N223,'GAS ASCII'!$B$2:$E$200,4)&lt;=0,"……………….","*"))</f>
        <v>*</v>
      </c>
      <c r="M223" s="21"/>
      <c r="N223" t="s">
        <v>1039</v>
      </c>
      <c r="O223" s="288"/>
    </row>
    <row r="224" spans="3:15" ht="15.75" customHeight="1">
      <c r="C224" s="9" t="s">
        <v>903</v>
      </c>
      <c r="H224" s="415">
        <f>IF(VLOOKUP(GAS!N224,'GAS ASCII'!$B$2:$C$200,2)&gt;=500000,VLOOKUP(GAS!N224,'GAS ASCII'!$B$2:$C$200,2)/1000000,IF(VLOOKUP(GAS!N224,'GAS ASCII'!$B$2:$C$200,2)&lt;=0,"……………….","*"))</f>
        <v>1184.357</v>
      </c>
      <c r="I224" s="21"/>
      <c r="J224" s="415">
        <f>IF(VLOOKUP(GAS!N224,'GAS ASCII'!$B$2:$D$200,3)&gt;=500000,VLOOKUP(GAS!N224,'GAS ASCII'!$B$2:$D$200,3)/-1000000,IF(VLOOKUP(GAS!N224,'GAS ASCII'!$B$2:$D$200,3)&lt;=0,"……………….","*"))</f>
        <v>-445.904</v>
      </c>
      <c r="K224" s="21"/>
      <c r="L224" s="415">
        <f>IF(VLOOKUP(GAS!N224,'GAS ASCII'!$B$2:$E$200,4)&gt;=500000,VLOOKUP(GAS!N224,'GAS ASCII'!$B$2:$E$200,4)/1000000,IF(VLOOKUP(GAS!N224,'GAS ASCII'!$B$2:$E$200,4)&lt;=0,"……………….","*"))</f>
        <v>738.453</v>
      </c>
      <c r="M224" s="21"/>
      <c r="N224" t="s">
        <v>1041</v>
      </c>
      <c r="O224" s="288"/>
    </row>
    <row r="225" spans="3:15" ht="15.75" customHeight="1">
      <c r="C225" s="9" t="s">
        <v>648</v>
      </c>
      <c r="H225" s="415">
        <f>IF(VLOOKUP(GAS!N225,'GAS ASCII'!$B$2:$C$200,2)&gt;=500000,VLOOKUP(GAS!N225,'GAS ASCII'!$B$2:$C$200,2)/1000000,IF(VLOOKUP(GAS!N225,'GAS ASCII'!$B$2:$C$200,2)&lt;=0,"……………….","*"))</f>
        <v>63.297</v>
      </c>
      <c r="I225" s="21"/>
      <c r="J225" s="415" t="str">
        <f>IF(VLOOKUP(GAS!N225,'GAS ASCII'!$B$2:$D$200,3)&gt;=500000,VLOOKUP(GAS!N225,'GAS ASCII'!$B$2:$D$200,3)/-1000000,IF(VLOOKUP(GAS!N225,'GAS ASCII'!$B$2:$D$200,3)&lt;=0,"……………….","*"))</f>
        <v>……………….</v>
      </c>
      <c r="K225" s="27"/>
      <c r="L225" s="415">
        <f>IF(VLOOKUP(GAS!N225,'GAS ASCII'!$B$2:$E$200,4)&gt;=500000,VLOOKUP(GAS!N225,'GAS ASCII'!$B$2:$E$200,4)/1000000,IF(VLOOKUP(GAS!N225,'GAS ASCII'!$B$2:$E$200,4)&lt;=0,"……………….","*"))</f>
        <v>63.297</v>
      </c>
      <c r="M225" s="21"/>
      <c r="N225" t="s">
        <v>1043</v>
      </c>
      <c r="O225" s="288"/>
    </row>
    <row r="226" spans="3:15" ht="15.75" customHeight="1">
      <c r="C226" s="9" t="s">
        <v>649</v>
      </c>
      <c r="H226" s="415">
        <f>IF(VLOOKUP(GAS!N226,'GAS ASCII'!$B$2:$C$200,2)&gt;=500000,VLOOKUP(GAS!N226,'GAS ASCII'!$B$2:$C$200,2)/1000000,IF(VLOOKUP(GAS!N226,'GAS ASCII'!$B$2:$C$200,2)&lt;=0,"……………….","*"))</f>
        <v>523.999</v>
      </c>
      <c r="I226" s="21"/>
      <c r="J226" s="415" t="str">
        <f>IF(VLOOKUP(GAS!N226,'GAS ASCII'!$B$2:$D$200,3)&gt;=500000,VLOOKUP(GAS!N226,'GAS ASCII'!$B$2:$D$200,3)/-1000000,IF(VLOOKUP(GAS!N226,'GAS ASCII'!$B$2:$D$200,3)&lt;=0,"……………….","*"))</f>
        <v>……………….</v>
      </c>
      <c r="K226" s="27"/>
      <c r="L226" s="415">
        <f>IF(VLOOKUP(GAS!N226,'GAS ASCII'!$B$2:$E$200,4)&gt;=500000,VLOOKUP(GAS!N226,'GAS ASCII'!$B$2:$E$200,4)/1000000,IF(VLOOKUP(GAS!N226,'GAS ASCII'!$B$2:$E$200,4)&lt;=0,"……………….","*"))</f>
        <v>523.999</v>
      </c>
      <c r="M226" s="21"/>
      <c r="N226" t="s">
        <v>368</v>
      </c>
      <c r="O226" s="288"/>
    </row>
    <row r="227" spans="3:15" ht="15.75" customHeight="1">
      <c r="C227" s="9"/>
      <c r="H227" s="415"/>
      <c r="I227" s="21"/>
      <c r="J227" s="415"/>
      <c r="K227" s="27"/>
      <c r="L227" s="415"/>
      <c r="M227" s="21"/>
      <c r="O227" s="288"/>
    </row>
    <row r="228" spans="3:15" ht="15.75" customHeight="1">
      <c r="C228" s="9" t="s">
        <v>581</v>
      </c>
      <c r="H228" s="415">
        <f>IF(VLOOKUP(GAS!N228,'GAS ASCII'!$B$2:$C$200,2)&gt;=500000,VLOOKUP(GAS!N228,'GAS ASCII'!$B$2:$C$200,2)/1000000,IF(VLOOKUP(GAS!N228,'GAS ASCII'!$B$2:$C$200,2)&lt;=0,"……………….","*"))</f>
        <v>7.58</v>
      </c>
      <c r="I228" s="21"/>
      <c r="J228" s="415" t="str">
        <f>IF(VLOOKUP(GAS!N228,'GAS ASCII'!$B$2:$D$200,3)&gt;=500000,VLOOKUP(GAS!N228,'GAS ASCII'!$B$2:$D$200,3)/-1000000,IF(VLOOKUP(GAS!N228,'GAS ASCII'!$B$2:$D$200,3)&lt;=0,"……………….","*"))</f>
        <v>……………….</v>
      </c>
      <c r="K228" s="27"/>
      <c r="L228" s="415">
        <f>IF(VLOOKUP(GAS!N228,'GAS ASCII'!$B$2:$E$200,4)&gt;=500000,VLOOKUP(GAS!N228,'GAS ASCII'!$B$2:$E$200,4)/1000000,IF(VLOOKUP(GAS!N228,'GAS ASCII'!$B$2:$E$200,4)&lt;=0,"……………….","*"))</f>
        <v>7.58</v>
      </c>
      <c r="M228" s="21"/>
      <c r="N228" t="s">
        <v>370</v>
      </c>
      <c r="O228" s="288"/>
    </row>
    <row r="229" spans="3:15" ht="15.75" customHeight="1">
      <c r="C229" s="9" t="s">
        <v>582</v>
      </c>
      <c r="H229" s="415">
        <f>IF(VLOOKUP(GAS!N229,'GAS ASCII'!$B$2:$C$200,2)&gt;=500000,VLOOKUP(GAS!N229,'GAS ASCII'!$B$2:$C$200,2)/1000000,IF(VLOOKUP(GAS!N229,'GAS ASCII'!$B$2:$C$200,2)&lt;=0,"……………….","*"))</f>
        <v>126.285</v>
      </c>
      <c r="I229" s="21"/>
      <c r="J229" s="415" t="str">
        <f>IF(VLOOKUP(GAS!N229,'GAS ASCII'!$B$2:$D$200,3)&gt;=500000,VLOOKUP(GAS!N229,'GAS ASCII'!$B$2:$D$200,3)/-1000000,IF(VLOOKUP(GAS!N229,'GAS ASCII'!$B$2:$D$200,3)&lt;=0,"……………….","*"))</f>
        <v>……………….</v>
      </c>
      <c r="K229" s="27"/>
      <c r="L229" s="415">
        <f>IF(VLOOKUP(GAS!N229,'GAS ASCII'!$B$2:$E$200,4)&gt;=500000,VLOOKUP(GAS!N229,'GAS ASCII'!$B$2:$E$200,4)/1000000,IF(VLOOKUP(GAS!N229,'GAS ASCII'!$B$2:$E$200,4)&lt;=0,"……………….","*"))</f>
        <v>126.285</v>
      </c>
      <c r="M229" s="21"/>
      <c r="N229" t="s">
        <v>372</v>
      </c>
      <c r="O229" s="288"/>
    </row>
    <row r="230" spans="3:15" ht="15.75" customHeight="1">
      <c r="C230" s="9" t="s">
        <v>229</v>
      </c>
      <c r="H230" s="415">
        <f>IF(VLOOKUP(GAS!N230,'GAS ASCII'!$B$2:$C$200,2)&gt;=500000,VLOOKUP(GAS!N230,'GAS ASCII'!$B$2:$C$200,2)/1000000,IF(VLOOKUP(GAS!N230,'GAS ASCII'!$B$2:$C$200,2)&lt;=0,"……………….","*"))</f>
        <v>45.30413864</v>
      </c>
      <c r="I230" s="21"/>
      <c r="J230" s="415" t="str">
        <f>IF(VLOOKUP(GAS!N230,'GAS ASCII'!$B$2:$D$200,3)&gt;=500000,VLOOKUP(GAS!N230,'GAS ASCII'!$B$2:$D$200,3)/-1000000,IF(VLOOKUP(GAS!N230,'GAS ASCII'!$B$2:$D$200,3)&lt;=0,"……………….","*"))</f>
        <v>……………….</v>
      </c>
      <c r="K230" s="27"/>
      <c r="L230" s="415">
        <f>IF(VLOOKUP(GAS!N230,'GAS ASCII'!$B$2:$E$200,4)&gt;=500000,VLOOKUP(GAS!N230,'GAS ASCII'!$B$2:$E$200,4)/1000000,IF(VLOOKUP(GAS!N230,'GAS ASCII'!$B$2:$E$200,4)&lt;=0,"……………….","*"))</f>
        <v>45.30413864</v>
      </c>
      <c r="M230" s="21"/>
      <c r="N230" t="s">
        <v>374</v>
      </c>
      <c r="O230" s="288"/>
    </row>
    <row r="231" spans="3:15" ht="15.75" customHeight="1">
      <c r="C231" s="9" t="s">
        <v>1017</v>
      </c>
      <c r="H231" s="415">
        <f>IF(VLOOKUP(GAS!N231,'GAS ASCII'!$B$2:$C$200,2)&gt;=500000,VLOOKUP(GAS!N231,'GAS ASCII'!$B$2:$C$200,2)/1000000,IF(VLOOKUP(GAS!N231,'GAS ASCII'!$B$2:$C$200,2)&lt;=0,"……………….","*"))</f>
        <v>37.94695772</v>
      </c>
      <c r="I231" s="21"/>
      <c r="J231" s="415" t="str">
        <f>IF(VLOOKUP(GAS!N231,'GAS ASCII'!$B$2:$D$200,3)&gt;=500000,VLOOKUP(GAS!N231,'GAS ASCII'!$B$2:$D$200,3)/-1000000,IF(VLOOKUP(GAS!N231,'GAS ASCII'!$B$2:$D$200,3)&lt;=0,"……………….","*"))</f>
        <v>……………….</v>
      </c>
      <c r="K231" s="27"/>
      <c r="L231" s="415">
        <f>IF(VLOOKUP(GAS!N231,'GAS ASCII'!$B$2:$E$200,4)&gt;=500000,VLOOKUP(GAS!N231,'GAS ASCII'!$B$2:$E$200,4)/1000000,IF(VLOOKUP(GAS!N231,'GAS ASCII'!$B$2:$E$200,4)&lt;=0,"……………….","*"))</f>
        <v>37.94695772</v>
      </c>
      <c r="M231" s="21"/>
      <c r="N231" t="s">
        <v>376</v>
      </c>
      <c r="O231" s="288"/>
    </row>
    <row r="232" spans="3:15" ht="15.75" customHeight="1">
      <c r="C232" s="9" t="s">
        <v>0</v>
      </c>
      <c r="H232" s="415">
        <f>IF(VLOOKUP(GAS!N232,'GAS ASCII'!$B$2:$C$200,2)&gt;=500000,VLOOKUP(GAS!N232,'GAS ASCII'!$B$2:$C$200,2)/1000000,IF(VLOOKUP(GAS!N232,'GAS ASCII'!$B$2:$C$200,2)&lt;=0,"……………….","*"))</f>
        <v>64.314</v>
      </c>
      <c r="I232" s="21"/>
      <c r="J232" s="415" t="str">
        <f>IF(VLOOKUP(GAS!N232,'GAS ASCII'!$B$2:$D$200,3)&gt;=500000,VLOOKUP(GAS!N232,'GAS ASCII'!$B$2:$D$200,3)/-1000000,IF(VLOOKUP(GAS!N232,'GAS ASCII'!$B$2:$D$200,3)&lt;=0,"……………….","*"))</f>
        <v>……………….</v>
      </c>
      <c r="K232" s="27"/>
      <c r="L232" s="415">
        <f>IF(VLOOKUP(GAS!N232,'GAS ASCII'!$B$2:$E$200,4)&gt;=500000,VLOOKUP(GAS!N232,'GAS ASCII'!$B$2:$E$200,4)/1000000,IF(VLOOKUP(GAS!N232,'GAS ASCII'!$B$2:$E$200,4)&lt;=0,"……………….","*"))</f>
        <v>64.314</v>
      </c>
      <c r="M232" s="21"/>
      <c r="N232" t="s">
        <v>378</v>
      </c>
      <c r="O232" s="288"/>
    </row>
    <row r="233" spans="3:15" ht="15.75" customHeight="1">
      <c r="C233" s="9"/>
      <c r="H233" s="415"/>
      <c r="I233" s="21"/>
      <c r="J233" s="415"/>
      <c r="K233" s="21"/>
      <c r="L233" s="415"/>
      <c r="M233" s="21"/>
      <c r="O233" s="288"/>
    </row>
    <row r="234" spans="3:15" ht="15.75" customHeight="1">
      <c r="C234" s="9" t="s">
        <v>128</v>
      </c>
      <c r="H234" s="415">
        <f>IF(VLOOKUP(GAS!N234,'GAS ASCII'!$B$2:$C$200,2)&gt;=500000,VLOOKUP(GAS!N234,'GAS ASCII'!$B$2:$C$200,2)/1000000,IF(VLOOKUP(GAS!N234,'GAS ASCII'!$B$2:$C$200,2)&lt;=0,"……………….","*"))</f>
        <v>52921.956</v>
      </c>
      <c r="I234" s="21"/>
      <c r="J234" s="415">
        <f>IF(VLOOKUP(GAS!N234,'GAS ASCII'!$B$2:$D$200,3)&gt;=500000,VLOOKUP(GAS!N234,'GAS ASCII'!$B$2:$D$200,3)/-1000000,IF(VLOOKUP(GAS!N234,'GAS ASCII'!$B$2:$D$200,3)&lt;=0,"……………….","*"))</f>
        <v>-15568.748</v>
      </c>
      <c r="K234" s="188"/>
      <c r="L234" s="415">
        <f>IF(VLOOKUP(GAS!N234,'GAS ASCII'!$B$2:$E$200,4)&gt;=500000,VLOOKUP(GAS!N234,'GAS ASCII'!$B$2:$E$200,4)/1000000,IF(VLOOKUP(GAS!N234,'GAS ASCII'!$B$2:$E$200,4)&lt;=0,"……………….","*"))</f>
        <v>37353.208</v>
      </c>
      <c r="M234" s="21"/>
      <c r="N234" t="s">
        <v>380</v>
      </c>
      <c r="O234" s="288"/>
    </row>
    <row r="235" spans="3:15" ht="15.75" customHeight="1">
      <c r="C235" s="9" t="s">
        <v>423</v>
      </c>
      <c r="H235" s="415">
        <f>IF(VLOOKUP(GAS!N235,'GAS ASCII'!$B$2:$C$200,2)&gt;=500000,VLOOKUP(GAS!N235,'GAS ASCII'!$B$2:$C$200,2)/1000000,IF(VLOOKUP(GAS!N235,'GAS ASCII'!$B$2:$C$200,2)&lt;=0,"……………….","*"))</f>
        <v>1302.136</v>
      </c>
      <c r="I235" s="21"/>
      <c r="J235" s="415" t="str">
        <f>IF(VLOOKUP(GAS!N235,'GAS ASCII'!$B$2:$D$200,3)&gt;=500000,VLOOKUP(GAS!N235,'GAS ASCII'!$B$2:$D$200,3)/-1000000,IF(VLOOKUP(GAS!N235,'GAS ASCII'!$B$2:$D$200,3)&lt;=0,"……………….","*"))</f>
        <v>……………….</v>
      </c>
      <c r="K235" s="27"/>
      <c r="L235" s="415">
        <f>IF(VLOOKUP(GAS!N235,'GAS ASCII'!$B$2:$E$200,4)&gt;=500000,VLOOKUP(GAS!N235,'GAS ASCII'!$B$2:$E$200,4)/1000000,IF(VLOOKUP(GAS!N235,'GAS ASCII'!$B$2:$E$200,4)&lt;=0,"……………….","*"))</f>
        <v>1302.136</v>
      </c>
      <c r="M235" s="21"/>
      <c r="N235" t="s">
        <v>382</v>
      </c>
      <c r="O235" s="288"/>
    </row>
    <row r="236" spans="3:15" ht="15.75" customHeight="1">
      <c r="C236" s="9" t="s">
        <v>1111</v>
      </c>
      <c r="H236" s="415">
        <f>IF(VLOOKUP(GAS!N236,'GAS ASCII'!$B$2:$C$200,2)&gt;=500000,VLOOKUP(GAS!N236,'GAS ASCII'!$B$2:$C$200,2)/1000000,IF(VLOOKUP(GAS!N236,'GAS ASCII'!$B$2:$C$200,2)&lt;=0,"……………….","*"))</f>
        <v>104.036</v>
      </c>
      <c r="I236" s="21"/>
      <c r="J236" s="415">
        <f>IF(VLOOKUP(GAS!N236,'GAS ASCII'!$B$2:$D$200,3)&gt;=500000,VLOOKUP(GAS!N236,'GAS ASCII'!$B$2:$D$200,3)/-1000000,IF(VLOOKUP(GAS!N236,'GAS ASCII'!$B$2:$D$200,3)&lt;=0,"……………….","*"))</f>
        <v>-49.391</v>
      </c>
      <c r="K236" s="27"/>
      <c r="L236" s="415">
        <f>IF(VLOOKUP(GAS!N236,'GAS ASCII'!$B$2:$E$200,4)&gt;=500000,VLOOKUP(GAS!N236,'GAS ASCII'!$B$2:$E$200,4)/1000000,IF(VLOOKUP(GAS!N236,'GAS ASCII'!$B$2:$E$200,4)&lt;=0,"……………….","*"))</f>
        <v>54.645</v>
      </c>
      <c r="M236" s="21"/>
      <c r="N236" t="s">
        <v>384</v>
      </c>
      <c r="O236" s="288"/>
    </row>
    <row r="237" spans="3:15" ht="15.75" customHeight="1">
      <c r="C237" s="9" t="s">
        <v>583</v>
      </c>
      <c r="H237" s="415">
        <f>IF(VLOOKUP(GAS!N237,'GAS ASCII'!$B$2:$C$200,2)&gt;=500000,VLOOKUP(GAS!N237,'GAS ASCII'!$B$2:$C$200,2)/1000000,IF(VLOOKUP(GAS!N237,'GAS ASCII'!$B$2:$C$200,2)&lt;=0,"……………….","*"))</f>
        <v>7.114</v>
      </c>
      <c r="I237" s="21"/>
      <c r="J237" s="415" t="str">
        <f>IF(VLOOKUP(GAS!N237,'GAS ASCII'!$B$2:$D$200,3)&gt;=500000,VLOOKUP(GAS!N237,'GAS ASCII'!$B$2:$D$200,3)/-1000000,IF(VLOOKUP(GAS!N237,'GAS ASCII'!$B$2:$D$200,3)&lt;=0,"……………….","*"))</f>
        <v>……………….</v>
      </c>
      <c r="K237" s="27"/>
      <c r="L237" s="415">
        <f>IF(VLOOKUP(GAS!N237,'GAS ASCII'!$B$2:$E$200,4)&gt;=500000,VLOOKUP(GAS!N237,'GAS ASCII'!$B$2:$E$200,4)/1000000,IF(VLOOKUP(GAS!N237,'GAS ASCII'!$B$2:$E$200,4)&lt;=0,"……………….","*"))</f>
        <v>7.114</v>
      </c>
      <c r="M237" s="21"/>
      <c r="N237" t="s">
        <v>386</v>
      </c>
      <c r="O237" s="288"/>
    </row>
    <row r="238" spans="3:15" ht="15.75" customHeight="1">
      <c r="C238" s="9" t="s">
        <v>1203</v>
      </c>
      <c r="H238" s="415">
        <f>IF(VLOOKUP(GAS!N238,'GAS ASCII'!$B$2:$C$200,2)&gt;=500000,VLOOKUP(GAS!N238,'GAS ASCII'!$B$2:$C$200,2)/1000000,IF(VLOOKUP(GAS!N238,'GAS ASCII'!$B$2:$C$200,2)&lt;=0,"……………….","*"))</f>
        <v>209.53788584</v>
      </c>
      <c r="I238" s="21"/>
      <c r="J238" s="415" t="str">
        <f>IF(VLOOKUP(GAS!N238,'GAS ASCII'!$B$2:$D$200,3)&gt;=500000,VLOOKUP(GAS!N238,'GAS ASCII'!$B$2:$D$200,3)/-1000000,IF(VLOOKUP(GAS!N238,'GAS ASCII'!$B$2:$D$200,3)&lt;=0,"……………….","*"))</f>
        <v>……………….</v>
      </c>
      <c r="K238" s="27"/>
      <c r="L238" s="415">
        <f>IF(VLOOKUP(GAS!N238,'GAS ASCII'!$B$2:$E$200,4)&gt;=500000,VLOOKUP(GAS!N238,'GAS ASCII'!$B$2:$E$200,4)/1000000,IF(VLOOKUP(GAS!N238,'GAS ASCII'!$B$2:$E$200,4)&lt;=0,"……………….","*"))</f>
        <v>209.53788584</v>
      </c>
      <c r="M238" s="21"/>
      <c r="N238" t="s">
        <v>388</v>
      </c>
      <c r="O238" s="288"/>
    </row>
    <row r="239" spans="3:15" ht="15.75" customHeight="1">
      <c r="C239" s="9" t="s">
        <v>1211</v>
      </c>
      <c r="H239" s="415">
        <f>IF(VLOOKUP(GAS!N239,'GAS ASCII'!$B$2:$C$200,2)&gt;=500000,VLOOKUP(GAS!N239,'GAS ASCII'!$B$2:$C$200,2)/1000000,IF(VLOOKUP(GAS!N239,'GAS ASCII'!$B$2:$C$200,2)&lt;=0,"……………….","*"))</f>
        <v>3798.225</v>
      </c>
      <c r="I239" s="21"/>
      <c r="J239" s="415">
        <f>IF(VLOOKUP(GAS!N239,'GAS ASCII'!$B$2:$D$200,3)&gt;=500000,VLOOKUP(GAS!N239,'GAS ASCII'!$B$2:$D$200,3)/-1000000,IF(VLOOKUP(GAS!N239,'GAS ASCII'!$B$2:$D$200,3)&lt;=0,"……………….","*"))</f>
        <v>-4.179</v>
      </c>
      <c r="K239" s="27"/>
      <c r="L239" s="415">
        <f>IF(VLOOKUP(GAS!N239,'GAS ASCII'!$B$2:$E$200,4)&gt;=500000,VLOOKUP(GAS!N239,'GAS ASCII'!$B$2:$E$200,4)/1000000,IF(VLOOKUP(GAS!N239,'GAS ASCII'!$B$2:$E$200,4)&lt;=0,"……………….","*"))</f>
        <v>3794.046</v>
      </c>
      <c r="M239" s="21"/>
      <c r="N239" t="s">
        <v>390</v>
      </c>
      <c r="O239" s="288"/>
    </row>
    <row r="240" spans="3:15" ht="15.75" customHeight="1">
      <c r="C240" s="9" t="s">
        <v>1213</v>
      </c>
      <c r="H240" s="415">
        <f>IF(VLOOKUP(GAS!N240,'GAS ASCII'!$B$2:$C$200,2)&gt;=500000,VLOOKUP(GAS!N240,'GAS ASCII'!$B$2:$C$200,2)/1000000,IF(VLOOKUP(GAS!N240,'GAS ASCII'!$B$2:$C$200,2)&lt;=0,"……………….","*"))</f>
        <v>128.639</v>
      </c>
      <c r="I240" s="21"/>
      <c r="J240" s="415" t="str">
        <f>IF(VLOOKUP(GAS!N240,'GAS ASCII'!$B$2:$D$200,3)&gt;=500000,VLOOKUP(GAS!N240,'GAS ASCII'!$B$2:$D$200,3)/-1000000,IF(VLOOKUP(GAS!N240,'GAS ASCII'!$B$2:$D$200,3)&lt;=0,"……………….","*"))</f>
        <v>……………….</v>
      </c>
      <c r="K240" s="27"/>
      <c r="L240" s="415">
        <f>IF(VLOOKUP(GAS!N240,'GAS ASCII'!$B$2:$E$200,4)&gt;=500000,VLOOKUP(GAS!N240,'GAS ASCII'!$B$2:$E$200,4)/1000000,IF(VLOOKUP(GAS!N240,'GAS ASCII'!$B$2:$E$200,4)&lt;=0,"……………….","*"))</f>
        <v>128.639</v>
      </c>
      <c r="M240" s="21"/>
      <c r="N240" t="s">
        <v>392</v>
      </c>
      <c r="O240" s="288"/>
    </row>
    <row r="241" spans="8:15" ht="15.75" customHeight="1">
      <c r="H241" s="415"/>
      <c r="I241" s="21"/>
      <c r="J241" s="415"/>
      <c r="K241" s="21"/>
      <c r="L241" s="415"/>
      <c r="M241" s="21"/>
      <c r="O241" s="288"/>
    </row>
    <row r="242" spans="3:15" ht="15.75" customHeight="1">
      <c r="C242" s="9" t="s">
        <v>131</v>
      </c>
      <c r="H242" s="415">
        <f>IF(VLOOKUP(GAS!N242,'GAS ASCII'!$B$2:$C$200,2)&gt;=500000,VLOOKUP(GAS!N242,'GAS ASCII'!$B$2:$C$200,2)/1000000,IF(VLOOKUP(GAS!N242,'GAS ASCII'!$B$2:$C$200,2)&lt;=0,"……………….","*"))</f>
        <v>1920.24</v>
      </c>
      <c r="I242" s="21"/>
      <c r="J242" s="415" t="str">
        <f>IF(VLOOKUP(GAS!N242,'GAS ASCII'!$B$2:$D$200,3)&gt;=500000,VLOOKUP(GAS!N242,'GAS ASCII'!$B$2:$D$200,3)/-1000000,IF(VLOOKUP(GAS!N242,'GAS ASCII'!$B$2:$D$200,3)&lt;=0,"……………….","*"))</f>
        <v>……………….</v>
      </c>
      <c r="K242" s="27"/>
      <c r="L242" s="415">
        <f>IF(VLOOKUP(GAS!N242,'GAS ASCII'!$B$2:$E$200,4)&gt;=500000,VLOOKUP(GAS!N242,'GAS ASCII'!$B$2:$E$200,4)/1000000,IF(VLOOKUP(GAS!N242,'GAS ASCII'!$B$2:$E$200,4)&lt;=0,"……………….","*"))</f>
        <v>1920.24</v>
      </c>
      <c r="M242" s="21"/>
      <c r="N242" t="s">
        <v>394</v>
      </c>
      <c r="O242" s="288"/>
    </row>
    <row r="243" spans="3:15" ht="15.75" customHeight="1">
      <c r="C243" s="9" t="s">
        <v>882</v>
      </c>
      <c r="H243" s="415">
        <f>IF(VLOOKUP(GAS!N243,'GAS ASCII'!$B$2:$C$200,2)&gt;=500000,VLOOKUP(GAS!N243,'GAS ASCII'!$B$2:$C$200,2)/1000000,IF(VLOOKUP(GAS!N243,'GAS ASCII'!$B$2:$C$200,2)&lt;=0,"……………….","*"))</f>
        <v>820.837</v>
      </c>
      <c r="I243" s="21"/>
      <c r="J243" s="415">
        <f>IF(VLOOKUP(GAS!N243,'GAS ASCII'!$B$2:$D$200,3)&gt;=500000,VLOOKUP(GAS!N243,'GAS ASCII'!$B$2:$D$200,3)/-1000000,IF(VLOOKUP(GAS!N243,'GAS ASCII'!$B$2:$D$200,3)&lt;=0,"……………….","*"))</f>
        <v>-359.508</v>
      </c>
      <c r="K243" s="27"/>
      <c r="L243" s="415">
        <f>IF(VLOOKUP(GAS!N243,'GAS ASCII'!$B$2:$E$200,4)&gt;=500000,VLOOKUP(GAS!N243,'GAS ASCII'!$B$2:$E$200,4)/1000000,IF(VLOOKUP(GAS!N243,'GAS ASCII'!$B$2:$E$200,4)&lt;=0,"……………….","*"))</f>
        <v>461.329</v>
      </c>
      <c r="M243" s="21"/>
      <c r="N243" t="s">
        <v>396</v>
      </c>
      <c r="O243" s="288"/>
    </row>
    <row r="244" spans="3:15" ht="15.75" customHeight="1">
      <c r="C244" s="132" t="s">
        <v>883</v>
      </c>
      <c r="H244" s="415"/>
      <c r="I244" s="21"/>
      <c r="J244" s="415"/>
      <c r="K244" s="27"/>
      <c r="L244" s="415"/>
      <c r="M244" s="21"/>
      <c r="O244" s="288"/>
    </row>
    <row r="245" spans="3:15" ht="15.75" customHeight="1">
      <c r="C245" s="9" t="s">
        <v>699</v>
      </c>
      <c r="H245" s="415">
        <f>IF(VLOOKUP(GAS!N245,'GAS ASCII'!$B$2:$C$200,2)&gt;=500000,VLOOKUP(GAS!N245,'GAS ASCII'!$B$2:$C$200,2)/1000000,IF(VLOOKUP(GAS!N245,'GAS ASCII'!$B$2:$C$200,2)&lt;=0,"……………….","*"))</f>
        <v>3056.082</v>
      </c>
      <c r="I245" s="21"/>
      <c r="J245" s="415">
        <f>IF(VLOOKUP(GAS!N245,'GAS ASCII'!$B$2:$D$200,3)&gt;=500000,VLOOKUP(GAS!N245,'GAS ASCII'!$B$2:$D$200,3)/-1000000,IF(VLOOKUP(GAS!N245,'GAS ASCII'!$B$2:$D$200,3)&lt;=0,"……………….","*"))</f>
        <v>-1168.393</v>
      </c>
      <c r="K245" s="27"/>
      <c r="L245" s="415">
        <f>IF(VLOOKUP(GAS!N245,'GAS ASCII'!$B$2:$E$200,4)&gt;=500000,VLOOKUP(GAS!N245,'GAS ASCII'!$B$2:$E$200,4)/1000000,IF(VLOOKUP(GAS!N245,'GAS ASCII'!$B$2:$E$200,4)&lt;=0,"……………….","*"))</f>
        <v>1887.689</v>
      </c>
      <c r="M245" s="21"/>
      <c r="N245" t="s">
        <v>398</v>
      </c>
      <c r="O245" s="288"/>
    </row>
    <row r="246" spans="3:15" ht="15.75" customHeight="1">
      <c r="C246" s="132" t="s">
        <v>886</v>
      </c>
      <c r="H246" s="415" t="str">
        <f>IF(VLOOKUP(GAS!N246,'GAS ASCII'!$B$2:$C$200,2)&gt;=500000,VLOOKUP(GAS!N246,'GAS ASCII'!$B$2:$C$200,2)/1000000,IF(VLOOKUP(GAS!N246,'GAS ASCII'!$B$2:$C$200,2)&lt;=0,"……………….","*"))</f>
        <v>*</v>
      </c>
      <c r="I246" s="21"/>
      <c r="J246" s="415" t="str">
        <f>IF(VLOOKUP(GAS!N246,'GAS ASCII'!$B$2:$D$200,3)&gt;=500000,VLOOKUP(GAS!N246,'GAS ASCII'!$B$2:$D$200,3)/-1000000,IF(VLOOKUP(GAS!N246,'GAS ASCII'!$B$2:$D$200,3)&lt;=0,"……………….","*"))</f>
        <v>……………….</v>
      </c>
      <c r="K246" s="27"/>
      <c r="L246" s="415" t="str">
        <f>IF(VLOOKUP(GAS!N246,'GAS ASCII'!$B$2:$E$200,4)&gt;=500000,VLOOKUP(GAS!N246,'GAS ASCII'!$B$2:$E$200,4)/1000000,IF(VLOOKUP(GAS!N246,'GAS ASCII'!$B$2:$E$200,4)&lt;=0,"……………….","*"))</f>
        <v>*</v>
      </c>
      <c r="M246" s="21"/>
      <c r="N246" t="s">
        <v>400</v>
      </c>
      <c r="O246" s="288"/>
    </row>
    <row r="247" spans="3:15" ht="15.75" customHeight="1">
      <c r="C247" s="132" t="s">
        <v>887</v>
      </c>
      <c r="H247" s="415">
        <f>IF(VLOOKUP(GAS!N247,'GAS ASCII'!$B$2:$C$200,2)&gt;=500000,VLOOKUP(GAS!N247,'GAS ASCII'!$B$2:$C$200,2)/1000000,IF(VLOOKUP(GAS!N247,'GAS ASCII'!$B$2:$C$200,2)&lt;=0,"……………….","*"))</f>
        <v>784.91329221</v>
      </c>
      <c r="I247" s="21"/>
      <c r="J247" s="415" t="str">
        <f>IF(VLOOKUP(GAS!N247,'GAS ASCII'!$B$2:$D$200,3)&gt;=500000,VLOOKUP(GAS!N247,'GAS ASCII'!$B$2:$D$200,3)/-1000000,IF(VLOOKUP(GAS!N247,'GAS ASCII'!$B$2:$D$200,3)&lt;=0,"……………….","*"))</f>
        <v>……………….</v>
      </c>
      <c r="K247" s="27"/>
      <c r="L247" s="415">
        <f>IF(VLOOKUP(GAS!N247,'GAS ASCII'!$B$2:$E$200,4)&gt;=500000,VLOOKUP(GAS!N247,'GAS ASCII'!$B$2:$E$200,4)/1000000,IF(VLOOKUP(GAS!N247,'GAS ASCII'!$B$2:$E$200,4)&lt;=0,"……………….","*"))</f>
        <v>784.91329221</v>
      </c>
      <c r="M247" s="21"/>
      <c r="N247" t="s">
        <v>402</v>
      </c>
      <c r="O247" s="288"/>
    </row>
    <row r="248" spans="3:15" ht="15.75" customHeight="1">
      <c r="C248" s="9"/>
      <c r="H248" s="415"/>
      <c r="I248" s="21"/>
      <c r="J248" s="415"/>
      <c r="K248" s="27"/>
      <c r="L248" s="415"/>
      <c r="M248" s="21"/>
      <c r="O248" s="288"/>
    </row>
    <row r="249" spans="3:15" ht="15.75" customHeight="1">
      <c r="C249" s="9" t="s">
        <v>888</v>
      </c>
      <c r="H249" s="415">
        <f>IF(VLOOKUP(GAS!N249,'GAS ASCII'!$B$2:$C$200,2)&gt;=500000,VLOOKUP(GAS!N249,'GAS ASCII'!$B$2:$C$200,2)/1000000,IF(VLOOKUP(GAS!N249,'GAS ASCII'!$B$2:$C$200,2)&lt;=0,"……………….","*"))</f>
        <v>36.25</v>
      </c>
      <c r="I249" s="21"/>
      <c r="J249" s="415" t="str">
        <f>IF(VLOOKUP(GAS!N249,'GAS ASCII'!$B$2:$D$200,3)&gt;=500000,VLOOKUP(GAS!N249,'GAS ASCII'!$B$2:$D$200,3)/-1000000,IF(VLOOKUP(GAS!N249,'GAS ASCII'!$B$2:$D$200,3)&lt;=0,"……………….","*"))</f>
        <v>……………….</v>
      </c>
      <c r="K249" s="27"/>
      <c r="L249" s="415">
        <f>IF(VLOOKUP(GAS!N249,'GAS ASCII'!$B$2:$E$200,4)&gt;=500000,VLOOKUP(GAS!N249,'GAS ASCII'!$B$2:$E$200,4)/1000000,IF(VLOOKUP(GAS!N249,'GAS ASCII'!$B$2:$E$200,4)&lt;=0,"……………….","*"))</f>
        <v>36.25</v>
      </c>
      <c r="M249" s="21"/>
      <c r="N249" t="s">
        <v>404</v>
      </c>
      <c r="O249" s="288"/>
    </row>
    <row r="250" spans="2:13" ht="15.75" customHeight="1">
      <c r="B250" s="78" t="s">
        <v>703</v>
      </c>
      <c r="H250" s="409">
        <f>SUM(H46:H249)+1</f>
        <v>3384616.9090876</v>
      </c>
      <c r="I250" s="410"/>
      <c r="J250" s="409">
        <f>SUM(J46:J249)-2</f>
        <v>-422574.05737423</v>
      </c>
      <c r="K250" s="410"/>
      <c r="L250" s="409">
        <f>SUM(L46:L249)+2</f>
        <v>2962043.700713369</v>
      </c>
      <c r="M250" s="410"/>
    </row>
    <row r="251" spans="2:13" ht="15.75" customHeight="1">
      <c r="B251" s="78" t="s">
        <v>153</v>
      </c>
      <c r="H251" s="409">
        <v>1690.486</v>
      </c>
      <c r="I251" s="410"/>
      <c r="J251" s="47" t="s">
        <v>928</v>
      </c>
      <c r="K251" s="27"/>
      <c r="L251" s="409">
        <f>+H251-J251</f>
        <v>1690.486</v>
      </c>
      <c r="M251" s="410"/>
    </row>
    <row r="252" spans="2:13" ht="15.75" customHeight="1" thickBot="1">
      <c r="B252" s="78" t="s">
        <v>154</v>
      </c>
      <c r="H252" s="426">
        <f>+H250+H251+1</f>
        <v>3386308.3950876</v>
      </c>
      <c r="I252" s="427"/>
      <c r="J252" s="426">
        <f>+J250+J251</f>
        <v>-422574.05737423</v>
      </c>
      <c r="K252" s="427"/>
      <c r="L252" s="426">
        <f>+L250+L251</f>
        <v>2963734.186713369</v>
      </c>
      <c r="M252" s="427"/>
    </row>
    <row r="253" spans="2:13" ht="21.75" customHeight="1" thickBot="1" thickTop="1">
      <c r="B253" s="75" t="s">
        <v>174</v>
      </c>
      <c r="C253" s="9"/>
      <c r="H253" s="240">
        <f>H43+H252-1</f>
        <v>3439427.51123649</v>
      </c>
      <c r="I253" s="285"/>
      <c r="J253" s="240">
        <f>J43+J252+1</f>
        <v>-422604.75237423</v>
      </c>
      <c r="K253" s="286"/>
      <c r="L253" s="240">
        <f>L43+L252-1</f>
        <v>3016821.6078622593</v>
      </c>
      <c r="M253" s="285"/>
    </row>
    <row r="254" spans="2:13" ht="15.75" customHeight="1" thickTop="1">
      <c r="B254" s="75"/>
      <c r="C254" s="9"/>
      <c r="H254" s="273"/>
      <c r="I254" s="273"/>
      <c r="J254" s="273"/>
      <c r="K254" s="274"/>
      <c r="L254" s="275"/>
      <c r="M254" s="273"/>
    </row>
    <row r="255" spans="1:13" ht="18">
      <c r="A255" s="140" t="s">
        <v>260</v>
      </c>
      <c r="B255" s="140"/>
      <c r="C255" s="141"/>
      <c r="D255" s="141"/>
      <c r="E255" s="63"/>
      <c r="F255" s="63"/>
      <c r="G255" s="63"/>
      <c r="H255" s="63"/>
      <c r="I255" s="63"/>
      <c r="J255" s="63"/>
      <c r="K255" s="63"/>
      <c r="L255" s="284"/>
      <c r="M255" s="63"/>
    </row>
    <row r="256" spans="1:13" ht="15">
      <c r="A256" s="78"/>
      <c r="B256" s="142" t="s">
        <v>441</v>
      </c>
      <c r="C256" s="78"/>
      <c r="D256" s="78"/>
      <c r="E256" s="78"/>
      <c r="F256" s="78"/>
      <c r="G256" s="78"/>
      <c r="H256" s="287"/>
      <c r="I256" s="78"/>
      <c r="J256" s="78"/>
      <c r="K256" s="78"/>
      <c r="L256" s="82"/>
      <c r="M256" s="78"/>
    </row>
    <row r="257" spans="1:13" ht="15.75" customHeight="1">
      <c r="A257" s="78"/>
      <c r="B257" s="78"/>
      <c r="C257" s="142" t="s">
        <v>276</v>
      </c>
      <c r="D257" s="78"/>
      <c r="E257" s="78"/>
      <c r="F257" s="78"/>
      <c r="G257" s="78"/>
      <c r="H257" s="78"/>
      <c r="I257" s="78"/>
      <c r="J257" s="78"/>
      <c r="K257" s="165">
        <v>14</v>
      </c>
      <c r="L257" s="144">
        <v>258.8780109</v>
      </c>
      <c r="M257" s="78"/>
    </row>
    <row r="258" spans="1:13" ht="15.75" customHeight="1">
      <c r="A258" s="78"/>
      <c r="B258" s="78"/>
      <c r="C258" s="142" t="s">
        <v>859</v>
      </c>
      <c r="D258" s="78"/>
      <c r="E258" s="78"/>
      <c r="F258" s="78"/>
      <c r="G258" s="78"/>
      <c r="H258" s="78"/>
      <c r="I258" s="78"/>
      <c r="J258" s="78"/>
      <c r="K258" s="165">
        <v>15</v>
      </c>
      <c r="L258" s="144">
        <v>65.19132</v>
      </c>
      <c r="M258" s="78"/>
    </row>
    <row r="259" spans="1:13" ht="15.75" customHeight="1">
      <c r="A259" s="78"/>
      <c r="B259" s="78"/>
      <c r="C259" s="142" t="s">
        <v>277</v>
      </c>
      <c r="D259" s="78"/>
      <c r="E259" s="78"/>
      <c r="F259" s="78"/>
      <c r="G259" s="78"/>
      <c r="H259" s="78"/>
      <c r="I259" s="78"/>
      <c r="J259" s="78"/>
      <c r="K259" s="165">
        <v>16</v>
      </c>
      <c r="L259" s="144">
        <v>179.155342</v>
      </c>
      <c r="M259" s="78"/>
    </row>
    <row r="260" spans="1:13" ht="15.75" customHeight="1">
      <c r="A260" s="78"/>
      <c r="B260" s="78"/>
      <c r="C260" s="142" t="s">
        <v>278</v>
      </c>
      <c r="D260" s="78"/>
      <c r="E260" s="78"/>
      <c r="F260" s="78"/>
      <c r="G260" s="78"/>
      <c r="H260" s="78"/>
      <c r="I260" s="78"/>
      <c r="J260" s="78"/>
      <c r="K260" s="145"/>
      <c r="L260" s="144">
        <f>L261-L259-L258-L257</f>
        <v>11.447970030000022</v>
      </c>
      <c r="M260" s="78"/>
    </row>
    <row r="261" spans="1:13" ht="18" customHeight="1" thickBot="1">
      <c r="A261" s="78"/>
      <c r="B261" s="142" t="s">
        <v>279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146">
        <v>514.67264293</v>
      </c>
      <c r="M261" s="147"/>
    </row>
    <row r="262" spans="1:13" ht="16.5" customHeight="1" thickTop="1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144"/>
      <c r="M262" s="124"/>
    </row>
    <row r="263" spans="1:13" ht="16.5" customHeight="1">
      <c r="A263" s="78"/>
      <c r="B263" s="142" t="s">
        <v>1023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144"/>
      <c r="M263" s="78"/>
    </row>
    <row r="264" spans="1:13" ht="15.75" customHeight="1">
      <c r="A264" s="78"/>
      <c r="B264" s="78"/>
      <c r="C264" s="142" t="s">
        <v>280</v>
      </c>
      <c r="D264" s="78"/>
      <c r="E264" s="78"/>
      <c r="F264" s="78"/>
      <c r="G264" s="78"/>
      <c r="H264" s="78"/>
      <c r="I264" s="78"/>
      <c r="J264" s="78"/>
      <c r="K264" s="165" t="s">
        <v>1168</v>
      </c>
      <c r="L264" s="144">
        <v>3674.844663</v>
      </c>
      <c r="M264" s="78"/>
    </row>
    <row r="265" spans="1:13" ht="15.75" customHeight="1">
      <c r="A265" s="78"/>
      <c r="B265" s="78"/>
      <c r="C265" s="142" t="s">
        <v>289</v>
      </c>
      <c r="D265" s="78"/>
      <c r="E265" s="78"/>
      <c r="F265" s="78"/>
      <c r="G265" s="78"/>
      <c r="H265" s="78"/>
      <c r="I265" s="78"/>
      <c r="J265" s="78"/>
      <c r="K265" s="145"/>
      <c r="L265" s="144">
        <v>45.0526331</v>
      </c>
      <c r="M265" s="78"/>
    </row>
    <row r="266" spans="1:13" ht="15.75" customHeight="1">
      <c r="A266" s="78"/>
      <c r="B266" s="78"/>
      <c r="C266" s="142" t="s">
        <v>278</v>
      </c>
      <c r="D266" s="78"/>
      <c r="E266" s="78"/>
      <c r="F266" s="78"/>
      <c r="G266" s="78"/>
      <c r="H266" s="78"/>
      <c r="I266" s="78"/>
      <c r="J266" s="78"/>
      <c r="K266" s="165"/>
      <c r="L266" s="144">
        <f>+L267-L264-L265</f>
        <v>6.3490112099999365</v>
      </c>
      <c r="M266" s="78"/>
    </row>
    <row r="267" spans="1:13" ht="18" customHeight="1" thickBot="1">
      <c r="A267" s="78"/>
      <c r="B267" s="142" t="s">
        <v>290</v>
      </c>
      <c r="C267" s="78"/>
      <c r="D267" s="78"/>
      <c r="E267" s="78"/>
      <c r="F267" s="78"/>
      <c r="G267" s="78"/>
      <c r="H267" s="78"/>
      <c r="I267" s="78"/>
      <c r="J267" s="78"/>
      <c r="K267" s="145"/>
      <c r="L267" s="146">
        <v>3726.24630731</v>
      </c>
      <c r="M267" s="147"/>
    </row>
    <row r="268" spans="1:13" ht="21" customHeight="1" thickBot="1" thickTop="1">
      <c r="A268" s="140" t="s">
        <v>2</v>
      </c>
      <c r="B268" s="140"/>
      <c r="C268" s="141"/>
      <c r="D268" s="141"/>
      <c r="E268" s="184"/>
      <c r="F268" s="184"/>
      <c r="G268" s="184"/>
      <c r="H268" s="184"/>
      <c r="I268" s="184"/>
      <c r="J268" s="184"/>
      <c r="K268" s="243"/>
      <c r="L268" s="111">
        <f>+L261+L267</f>
        <v>4240.9189502399995</v>
      </c>
      <c r="M268" s="55"/>
    </row>
    <row r="269" spans="3:13" ht="15.75" customHeight="1" thickTop="1">
      <c r="C269" s="9"/>
      <c r="G269" s="63"/>
      <c r="H269" s="108"/>
      <c r="I269" s="108"/>
      <c r="J269" s="109"/>
      <c r="K269" s="27"/>
      <c r="L269" s="40"/>
      <c r="M269" s="21"/>
    </row>
    <row r="270" spans="1:13" ht="18" customHeight="1" thickBot="1">
      <c r="A270" s="23" t="s">
        <v>291</v>
      </c>
      <c r="B270" s="23"/>
      <c r="H270" s="116"/>
      <c r="I270" s="108"/>
      <c r="J270" s="116"/>
      <c r="K270" s="244"/>
      <c r="L270" s="111">
        <f>SUM(L253,L268,Nonmarketable!O11,Nonmarketable!O22,Nonmarketable!O28,Nonmarketable!O33,Nonmarketable!O45,Nonmarketable!O64)+1</f>
        <v>3427445.4598632692</v>
      </c>
      <c r="M270" s="170"/>
    </row>
    <row r="271" spans="3:13" ht="15.75" customHeight="1" thickTop="1">
      <c r="C271" s="9"/>
      <c r="G271" s="63"/>
      <c r="H271" s="108"/>
      <c r="I271" s="108"/>
      <c r="J271" s="109"/>
      <c r="K271" s="27"/>
      <c r="L271" s="245"/>
      <c r="M271" s="21"/>
    </row>
    <row r="272" spans="1:13" s="63" customFormat="1" ht="24.75" customHeight="1" thickBot="1">
      <c r="A272" s="375" t="s">
        <v>579</v>
      </c>
      <c r="B272" s="185"/>
      <c r="C272" s="186"/>
      <c r="D272" s="186"/>
      <c r="E272" s="187"/>
      <c r="F272" s="187"/>
      <c r="G272" s="187"/>
      <c r="H272" s="187"/>
      <c r="I272" s="187"/>
      <c r="J272" s="187"/>
      <c r="K272" s="187"/>
      <c r="L272" s="376">
        <f>SUM(Marketable!O286,L270)</f>
        <v>7009234.736860259</v>
      </c>
      <c r="M272" s="130"/>
    </row>
    <row r="273" spans="1:13" ht="16.5" customHeight="1" thickTop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124"/>
      <c r="L273" s="183"/>
      <c r="M273" s="124"/>
    </row>
    <row r="274" spans="1:13" ht="16.5" customHeight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124"/>
      <c r="L274" s="183"/>
      <c r="M274" s="124"/>
    </row>
    <row r="275" spans="1:13" ht="16.5" customHeight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124"/>
      <c r="L275" s="183"/>
      <c r="M275" s="124"/>
    </row>
    <row r="276" spans="1:13" ht="16.5" customHeight="1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124"/>
      <c r="L276" s="183"/>
      <c r="M276" s="124"/>
    </row>
    <row r="277" spans="1:13" ht="16.5" customHeight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124"/>
      <c r="L277" s="183"/>
      <c r="M277" s="124"/>
    </row>
    <row r="278" spans="1:13" ht="16.5" customHeight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124"/>
      <c r="L278" s="183"/>
      <c r="M278" s="124"/>
    </row>
    <row r="279" spans="1:13" ht="16.5" customHeight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124"/>
      <c r="L279" s="183"/>
      <c r="M279" s="124"/>
    </row>
    <row r="280" spans="1:13" ht="16.5" customHeight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124"/>
      <c r="L280" s="183"/>
      <c r="M280" s="124"/>
    </row>
    <row r="281" spans="1:13" ht="16.5" customHeight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124"/>
      <c r="L281" s="183"/>
      <c r="M281" s="124"/>
    </row>
    <row r="282" spans="1:13" ht="16.5" customHeight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124"/>
      <c r="L282" s="183"/>
      <c r="M282" s="124"/>
    </row>
    <row r="283" spans="1:13" ht="16.5" customHeight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124"/>
      <c r="L283" s="183"/>
      <c r="M283" s="124"/>
    </row>
    <row r="284" spans="1:13" ht="16.5" customHeight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124"/>
      <c r="L284" s="183"/>
      <c r="M284" s="124"/>
    </row>
    <row r="285" spans="1:13" ht="16.5" customHeight="1" thickBot="1">
      <c r="A285" s="375"/>
      <c r="B285" s="375"/>
      <c r="C285" s="375"/>
      <c r="D285" s="375"/>
      <c r="E285" s="375"/>
      <c r="F285" s="375"/>
      <c r="G285" s="375"/>
      <c r="H285" s="375"/>
      <c r="I285" s="375"/>
      <c r="J285" s="375"/>
      <c r="K285" s="375"/>
      <c r="L285" s="375"/>
      <c r="M285" s="375"/>
    </row>
    <row r="286" spans="1:13" ht="16.5" customHeight="1" thickTop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124"/>
      <c r="L286" s="183"/>
      <c r="M286" s="124"/>
    </row>
    <row r="287" spans="1:13" ht="16.5" customHeight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124"/>
      <c r="L287" s="183"/>
      <c r="M287" s="124"/>
    </row>
    <row r="288" spans="1:13" ht="16.5" customHeight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124"/>
      <c r="L288" s="183"/>
      <c r="M288" s="124"/>
    </row>
    <row r="289" spans="1:13" ht="16.5" customHeight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124"/>
      <c r="L289" s="183"/>
      <c r="M289" s="124"/>
    </row>
    <row r="290" spans="1:13" ht="16.5" customHeight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124"/>
      <c r="L290" s="183"/>
      <c r="M290" s="124"/>
    </row>
    <row r="291" spans="1:13" ht="16.5" customHeight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124"/>
      <c r="L291" s="183"/>
      <c r="M291" s="124"/>
    </row>
    <row r="292" spans="1:13" ht="16.5" customHeight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124"/>
      <c r="L292" s="183"/>
      <c r="M292" s="124"/>
    </row>
    <row r="293" spans="1:13" ht="16.5" customHeight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124"/>
      <c r="L293" s="183"/>
      <c r="M293" s="124"/>
    </row>
    <row r="294" spans="1:13" ht="16.5" customHeight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124"/>
      <c r="L294" s="183"/>
      <c r="M294" s="124"/>
    </row>
    <row r="295" spans="1:13" ht="16.5" customHeight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124"/>
      <c r="L295" s="183"/>
      <c r="M295" s="124"/>
    </row>
    <row r="296" spans="1:13" ht="16.5" customHeight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124"/>
      <c r="L296" s="183"/>
      <c r="M296" s="124"/>
    </row>
    <row r="297" spans="1:13" ht="16.5" customHeight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124"/>
      <c r="L297" s="183"/>
      <c r="M297" s="124"/>
    </row>
    <row r="298" spans="1:13" ht="16.5" customHeight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124"/>
      <c r="L298" s="183"/>
      <c r="M298" s="124"/>
    </row>
    <row r="299" spans="1:13" ht="16.5" customHeight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124"/>
      <c r="L299" s="183"/>
      <c r="M299" s="124"/>
    </row>
  </sheetData>
  <printOptions horizontalCentered="1"/>
  <pageMargins left="0" right="0" top="0.4" bottom="0.25" header="0" footer="0.18"/>
  <pageSetup fitToHeight="3" horizontalDpi="300" verticalDpi="300" orientation="portrait" scale="50" r:id="rId1"/>
  <rowBreaks count="2" manualBreakCount="2">
    <brk id="96" max="12" man="1"/>
    <brk id="192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81"/>
  <sheetViews>
    <sheetView showGridLines="0" view="pageBreakPreview" zoomScale="75" zoomScaleNormal="80" zoomScaleSheetLayoutView="75" workbookViewId="0" topLeftCell="A1">
      <selection activeCell="A1" sqref="A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78" customFormat="1" ht="15.75" customHeight="1">
      <c r="A1" s="401" t="s">
        <v>544</v>
      </c>
      <c r="B1" s="76" t="s">
        <v>828</v>
      </c>
      <c r="C1" s="76"/>
      <c r="D1" s="76"/>
      <c r="E1" s="77"/>
      <c r="F1" s="77"/>
      <c r="G1" s="77"/>
      <c r="H1" s="77"/>
      <c r="I1" s="77"/>
      <c r="J1" s="289"/>
      <c r="K1" s="289"/>
      <c r="L1" s="75"/>
    </row>
    <row r="2" spans="1:12" s="78" customFormat="1" ht="15.75" customHeight="1">
      <c r="A2" s="228"/>
      <c r="B2" s="291" t="s">
        <v>355</v>
      </c>
      <c r="C2" s="76"/>
      <c r="D2" s="76"/>
      <c r="E2" s="77"/>
      <c r="F2" s="77"/>
      <c r="G2" s="77"/>
      <c r="H2" s="77"/>
      <c r="I2" s="77"/>
      <c r="J2" s="289"/>
      <c r="K2" s="289"/>
      <c r="L2" s="75"/>
    </row>
    <row r="3" spans="1:12" s="78" customFormat="1" ht="15.75" customHeight="1">
      <c r="A3" s="292"/>
      <c r="B3" s="291"/>
      <c r="C3" s="293"/>
      <c r="D3" s="293"/>
      <c r="E3" s="293"/>
      <c r="F3" s="293"/>
      <c r="G3" s="293"/>
      <c r="H3" s="293"/>
      <c r="I3" s="293"/>
      <c r="J3" s="294"/>
      <c r="K3" s="293"/>
      <c r="L3" s="295"/>
    </row>
    <row r="4" spans="1:12" s="78" customFormat="1" ht="15.75" customHeight="1">
      <c r="A4" s="296"/>
      <c r="B4" s="296"/>
      <c r="C4" s="296"/>
      <c r="D4" s="297"/>
      <c r="E4" s="382"/>
      <c r="F4" s="380"/>
      <c r="G4" s="298"/>
      <c r="H4" s="297"/>
      <c r="I4" s="298"/>
      <c r="J4" s="299"/>
      <c r="K4" s="295"/>
      <c r="L4" s="295"/>
    </row>
    <row r="5" spans="1:12" s="78" customFormat="1" ht="16.5" customHeight="1">
      <c r="A5" s="77" t="s">
        <v>407</v>
      </c>
      <c r="B5" s="77"/>
      <c r="C5" s="77"/>
      <c r="D5" s="400" t="s">
        <v>845</v>
      </c>
      <c r="E5" s="403" t="s">
        <v>846</v>
      </c>
      <c r="F5" s="383" t="s">
        <v>904</v>
      </c>
      <c r="G5" s="383" t="s">
        <v>813</v>
      </c>
      <c r="H5" s="383" t="s">
        <v>444</v>
      </c>
      <c r="I5" s="371" t="s">
        <v>445</v>
      </c>
      <c r="J5" s="77"/>
      <c r="L5" s="293"/>
    </row>
    <row r="6" spans="1:12" s="78" customFormat="1" ht="15.75" customHeight="1">
      <c r="A6" s="300"/>
      <c r="B6" s="300"/>
      <c r="C6" s="300"/>
      <c r="D6" s="384"/>
      <c r="E6" s="384"/>
      <c r="F6" s="381"/>
      <c r="G6" s="381"/>
      <c r="H6" s="372"/>
      <c r="I6" s="373"/>
      <c r="J6" s="374"/>
      <c r="K6" s="295"/>
      <c r="L6" s="295"/>
    </row>
    <row r="7" spans="1:12" s="78" customFormat="1" ht="21" customHeight="1">
      <c r="A7" s="276" t="s">
        <v>3</v>
      </c>
      <c r="D7" s="387">
        <f>+Summary!F32</f>
        <v>4045200.9791468903</v>
      </c>
      <c r="E7" s="385">
        <v>3636978</v>
      </c>
      <c r="F7" s="385">
        <v>3924090</v>
      </c>
      <c r="G7" s="385">
        <v>3553180.248</v>
      </c>
      <c r="H7" s="385">
        <v>3339310</v>
      </c>
      <c r="I7" s="412">
        <v>3439322</v>
      </c>
      <c r="J7" s="413"/>
      <c r="K7" s="295"/>
      <c r="L7" s="292"/>
    </row>
    <row r="8" spans="1:12" s="78" customFormat="1" ht="21" customHeight="1">
      <c r="A8" s="276" t="s">
        <v>4</v>
      </c>
      <c r="D8" s="269">
        <f>Summary!I32</f>
        <v>2964033.757713369</v>
      </c>
      <c r="E8" s="386">
        <v>2764399</v>
      </c>
      <c r="F8" s="386">
        <v>2859141</v>
      </c>
      <c r="G8" s="386">
        <v>2675055.718</v>
      </c>
      <c r="H8" s="386">
        <v>2468153</v>
      </c>
      <c r="I8" s="269">
        <v>2234857</v>
      </c>
      <c r="J8" s="270"/>
      <c r="K8" s="295"/>
      <c r="L8" s="292"/>
    </row>
    <row r="9" spans="1:12" s="78" customFormat="1" ht="21" customHeight="1" thickBot="1">
      <c r="A9" s="277" t="s">
        <v>5</v>
      </c>
      <c r="B9" s="267"/>
      <c r="C9" s="267"/>
      <c r="D9" s="268">
        <f>+Summary!L32</f>
        <v>7009234.736860259</v>
      </c>
      <c r="E9" s="271">
        <f>SUM(E7:E8)</f>
        <v>6401377</v>
      </c>
      <c r="F9" s="271">
        <f>SUM(F7:F8)</f>
        <v>6783231</v>
      </c>
      <c r="G9" s="271">
        <f>SUM(G7:G8)</f>
        <v>6228235.966</v>
      </c>
      <c r="H9" s="271">
        <f>SUM(H7:H8)</f>
        <v>5807463</v>
      </c>
      <c r="I9" s="271">
        <f>SUM(I7:I8)-1</f>
        <v>5674178</v>
      </c>
      <c r="J9" s="272"/>
      <c r="K9" s="295"/>
      <c r="L9" s="292"/>
    </row>
    <row r="10" spans="1:12" s="78" customFormat="1" ht="12.75" customHeight="1" thickTop="1">
      <c r="A10" s="282"/>
      <c r="B10" s="281"/>
      <c r="C10" s="281"/>
      <c r="D10" s="281"/>
      <c r="E10" s="281"/>
      <c r="F10" s="281"/>
      <c r="G10" s="428"/>
      <c r="H10" s="428"/>
      <c r="I10" s="428"/>
      <c r="J10" s="428"/>
      <c r="L10" s="292"/>
    </row>
    <row r="11" spans="1:13" s="78" customFormat="1" ht="28.5" customHeight="1" thickBot="1">
      <c r="A11" s="279" t="s">
        <v>829</v>
      </c>
      <c r="B11" s="279"/>
      <c r="C11" s="279"/>
      <c r="D11" s="279"/>
      <c r="E11" s="280"/>
      <c r="F11" s="280"/>
      <c r="G11" s="280"/>
      <c r="H11" s="280"/>
      <c r="I11" s="280"/>
      <c r="J11" s="279"/>
      <c r="L11" s="295"/>
      <c r="M11" s="142" t="s">
        <v>1024</v>
      </c>
    </row>
    <row r="12" spans="1:12" s="78" customFormat="1" ht="15.75" thickTop="1">
      <c r="A12" s="124"/>
      <c r="B12" s="124"/>
      <c r="C12" s="124"/>
      <c r="D12" s="82"/>
      <c r="E12" s="82"/>
      <c r="F12" s="82"/>
      <c r="G12" s="124"/>
      <c r="H12" s="124"/>
      <c r="I12" s="278"/>
      <c r="J12" s="124"/>
      <c r="K12" s="292"/>
      <c r="L12" s="292"/>
    </row>
    <row r="13" spans="4:12" s="78" customFormat="1" ht="14.25" customHeight="1">
      <c r="D13" s="302" t="s">
        <v>1027</v>
      </c>
      <c r="E13" s="82"/>
      <c r="F13" s="303" t="s">
        <v>356</v>
      </c>
      <c r="G13" s="77"/>
      <c r="H13" s="77"/>
      <c r="I13" s="278"/>
      <c r="J13" s="292"/>
      <c r="K13" s="292"/>
      <c r="L13" s="292"/>
    </row>
    <row r="14" spans="1:11" s="78" customFormat="1" ht="16.5" customHeight="1">
      <c r="A14" s="77" t="s">
        <v>452</v>
      </c>
      <c r="B14" s="77"/>
      <c r="C14" s="77"/>
      <c r="D14" s="302" t="s">
        <v>1028</v>
      </c>
      <c r="E14" s="302" t="s">
        <v>1029</v>
      </c>
      <c r="F14" s="82"/>
      <c r="I14" s="304" t="s">
        <v>993</v>
      </c>
      <c r="J14" s="293"/>
      <c r="K14" s="289"/>
    </row>
    <row r="15" spans="4:12" s="78" customFormat="1" ht="15.75" customHeight="1">
      <c r="D15" s="302" t="s">
        <v>600</v>
      </c>
      <c r="E15" s="82"/>
      <c r="F15" s="305" t="s">
        <v>601</v>
      </c>
      <c r="G15" s="305" t="s">
        <v>602</v>
      </c>
      <c r="H15" s="305" t="s">
        <v>602</v>
      </c>
      <c r="I15" s="306" t="s">
        <v>822</v>
      </c>
      <c r="J15" s="66"/>
      <c r="K15" s="124"/>
      <c r="L15" s="124"/>
    </row>
    <row r="16" spans="1:10" s="78" customFormat="1" ht="14.25" customHeight="1">
      <c r="A16" s="83"/>
      <c r="B16" s="83"/>
      <c r="C16" s="83"/>
      <c r="D16" s="84"/>
      <c r="E16" s="84"/>
      <c r="F16" s="307" t="s">
        <v>16</v>
      </c>
      <c r="G16" s="308" t="s">
        <v>603</v>
      </c>
      <c r="H16" s="308" t="s">
        <v>604</v>
      </c>
      <c r="I16" s="309"/>
      <c r="J16" s="301"/>
    </row>
    <row r="17" spans="1:12" s="78" customFormat="1" ht="14.25" customHeight="1">
      <c r="A17" s="124"/>
      <c r="B17" s="124"/>
      <c r="C17" s="124"/>
      <c r="D17" s="82"/>
      <c r="E17" s="82"/>
      <c r="F17" s="310"/>
      <c r="G17" s="302"/>
      <c r="H17" s="302"/>
      <c r="I17" s="85"/>
      <c r="J17" s="295"/>
      <c r="K17" s="289"/>
      <c r="L17" s="289"/>
    </row>
    <row r="18" spans="1:12" s="78" customFormat="1" ht="14.25" customHeight="1">
      <c r="A18" s="142" t="s">
        <v>605</v>
      </c>
      <c r="D18" s="82"/>
      <c r="E18" s="82"/>
      <c r="F18" s="144"/>
      <c r="G18" s="144"/>
      <c r="H18" s="144"/>
      <c r="I18" s="85"/>
      <c r="J18" s="292"/>
      <c r="K18" s="124"/>
      <c r="L18" s="124"/>
    </row>
    <row r="19" spans="1:10" s="78" customFormat="1" ht="13.5" customHeight="1">
      <c r="A19" s="142" t="s">
        <v>926</v>
      </c>
      <c r="C19" s="311" t="s">
        <v>934</v>
      </c>
      <c r="D19" s="82"/>
      <c r="E19" s="82"/>
      <c r="F19" s="144"/>
      <c r="G19" s="144"/>
      <c r="H19" s="144"/>
      <c r="I19" s="85"/>
      <c r="J19" s="292"/>
    </row>
    <row r="20" spans="1:10" s="78" customFormat="1" ht="15.75" customHeight="1">
      <c r="A20" s="312" t="s">
        <v>653</v>
      </c>
      <c r="C20" s="311" t="s">
        <v>539</v>
      </c>
      <c r="D20" s="313" t="s">
        <v>606</v>
      </c>
      <c r="E20" s="314">
        <v>38306</v>
      </c>
      <c r="F20" s="144">
        <v>8301806</v>
      </c>
      <c r="G20" s="144">
        <v>4791374</v>
      </c>
      <c r="H20" s="144">
        <f aca="true" t="shared" si="0" ref="H20:H57">SUM(F20-G20)</f>
        <v>3510432</v>
      </c>
      <c r="I20" s="85">
        <v>481200</v>
      </c>
      <c r="J20" s="292"/>
    </row>
    <row r="21" spans="1:10" s="78" customFormat="1" ht="15" customHeight="1">
      <c r="A21" s="312" t="s">
        <v>876</v>
      </c>
      <c r="C21" s="311" t="s">
        <v>545</v>
      </c>
      <c r="D21" s="313" t="s">
        <v>607</v>
      </c>
      <c r="E21" s="314">
        <v>38487</v>
      </c>
      <c r="F21" s="144">
        <v>4260758</v>
      </c>
      <c r="G21" s="144">
        <v>2078301</v>
      </c>
      <c r="H21" s="144">
        <f t="shared" si="0"/>
        <v>2182457</v>
      </c>
      <c r="I21" s="85">
        <v>0</v>
      </c>
      <c r="J21" s="292"/>
    </row>
    <row r="22" spans="1:12" s="78" customFormat="1" ht="15.75" customHeight="1">
      <c r="A22" s="312" t="s">
        <v>877</v>
      </c>
      <c r="C22" s="311" t="s">
        <v>540</v>
      </c>
      <c r="D22" s="313" t="s">
        <v>608</v>
      </c>
      <c r="E22" s="314">
        <v>38579</v>
      </c>
      <c r="F22" s="144">
        <v>9269713</v>
      </c>
      <c r="G22" s="144">
        <v>6270284</v>
      </c>
      <c r="H22" s="144">
        <f t="shared" si="0"/>
        <v>2999429</v>
      </c>
      <c r="I22" s="85">
        <v>23600</v>
      </c>
      <c r="J22" s="292"/>
      <c r="K22" s="289"/>
      <c r="L22" s="77"/>
    </row>
    <row r="23" spans="1:10" s="78" customFormat="1" ht="15" customHeight="1">
      <c r="A23" s="312" t="s">
        <v>654</v>
      </c>
      <c r="C23" s="311" t="s">
        <v>547</v>
      </c>
      <c r="D23" s="313" t="s">
        <v>609</v>
      </c>
      <c r="E23" s="314">
        <v>38763</v>
      </c>
      <c r="F23" s="144">
        <v>4755916</v>
      </c>
      <c r="G23" s="144">
        <v>4297462</v>
      </c>
      <c r="H23" s="144">
        <f t="shared" si="0"/>
        <v>458454</v>
      </c>
      <c r="I23" s="85">
        <v>27416</v>
      </c>
      <c r="J23" s="292"/>
    </row>
    <row r="24" spans="1:12" s="78" customFormat="1" ht="15" customHeight="1">
      <c r="A24" s="312" t="s">
        <v>655</v>
      </c>
      <c r="B24" s="160" t="s">
        <v>13</v>
      </c>
      <c r="C24" s="311" t="s">
        <v>537</v>
      </c>
      <c r="D24" s="313" t="s">
        <v>610</v>
      </c>
      <c r="E24" s="314">
        <v>41958</v>
      </c>
      <c r="F24" s="144">
        <v>5015284</v>
      </c>
      <c r="G24" s="144">
        <v>1989762</v>
      </c>
      <c r="H24" s="144">
        <f t="shared" si="0"/>
        <v>3025522</v>
      </c>
      <c r="I24" s="85">
        <v>0</v>
      </c>
      <c r="J24" s="292"/>
      <c r="K24" s="124"/>
      <c r="L24" s="124"/>
    </row>
    <row r="25" spans="1:10" s="78" customFormat="1" ht="15" customHeight="1">
      <c r="A25" s="312" t="s">
        <v>656</v>
      </c>
      <c r="C25" s="311" t="s">
        <v>552</v>
      </c>
      <c r="D25" s="313" t="s">
        <v>611</v>
      </c>
      <c r="E25" s="314">
        <v>42050</v>
      </c>
      <c r="F25" s="144">
        <v>10520299</v>
      </c>
      <c r="G25" s="144">
        <v>8757610</v>
      </c>
      <c r="H25" s="144">
        <f t="shared" si="0"/>
        <v>1762689</v>
      </c>
      <c r="I25" s="85">
        <v>350560</v>
      </c>
      <c r="J25" s="292"/>
    </row>
    <row r="26" spans="1:10" s="78" customFormat="1" ht="15.75" customHeight="1">
      <c r="A26" s="312" t="s">
        <v>187</v>
      </c>
      <c r="C26" s="311" t="s">
        <v>553</v>
      </c>
      <c r="D26" s="313" t="s">
        <v>612</v>
      </c>
      <c r="E26" s="314">
        <v>42231</v>
      </c>
      <c r="F26" s="144">
        <v>4023916</v>
      </c>
      <c r="G26" s="144">
        <v>3340741</v>
      </c>
      <c r="H26" s="144">
        <f t="shared" si="0"/>
        <v>683175</v>
      </c>
      <c r="I26" s="85">
        <v>82240</v>
      </c>
      <c r="J26" s="292"/>
    </row>
    <row r="27" spans="1:10" s="78" customFormat="1" ht="15" customHeight="1">
      <c r="A27" s="312" t="s">
        <v>188</v>
      </c>
      <c r="C27" s="311" t="s">
        <v>1163</v>
      </c>
      <c r="D27" s="313" t="s">
        <v>613</v>
      </c>
      <c r="E27" s="314">
        <v>42323</v>
      </c>
      <c r="F27" s="144">
        <v>5584859</v>
      </c>
      <c r="G27" s="144">
        <v>3314094</v>
      </c>
      <c r="H27" s="144">
        <f t="shared" si="0"/>
        <v>2270765</v>
      </c>
      <c r="I27" s="85">
        <v>31800</v>
      </c>
      <c r="J27" s="292"/>
    </row>
    <row r="28" spans="1:10" s="78" customFormat="1" ht="15" customHeight="1">
      <c r="A28" s="312" t="s">
        <v>189</v>
      </c>
      <c r="C28" s="311" t="s">
        <v>1164</v>
      </c>
      <c r="D28" s="313" t="s">
        <v>614</v>
      </c>
      <c r="E28" s="314">
        <v>42415</v>
      </c>
      <c r="F28" s="144">
        <v>5431754</v>
      </c>
      <c r="G28" s="144">
        <v>5030534</v>
      </c>
      <c r="H28" s="144">
        <f t="shared" si="0"/>
        <v>401220</v>
      </c>
      <c r="I28" s="85">
        <v>191000</v>
      </c>
      <c r="J28" s="292"/>
    </row>
    <row r="29" spans="1:10" s="78" customFormat="1" ht="15.75" customHeight="1">
      <c r="A29" s="312" t="s">
        <v>190</v>
      </c>
      <c r="C29" s="311" t="s">
        <v>535</v>
      </c>
      <c r="D29" s="313" t="s">
        <v>615</v>
      </c>
      <c r="E29" s="314">
        <v>42505</v>
      </c>
      <c r="F29" s="144">
        <v>18823551</v>
      </c>
      <c r="G29" s="144">
        <v>18255698</v>
      </c>
      <c r="H29" s="144">
        <f t="shared" si="0"/>
        <v>567853</v>
      </c>
      <c r="I29" s="85">
        <v>12800</v>
      </c>
      <c r="J29" s="292"/>
    </row>
    <row r="30" spans="1:10" s="78" customFormat="1" ht="15" customHeight="1">
      <c r="A30" s="312" t="s">
        <v>657</v>
      </c>
      <c r="C30" s="311" t="s">
        <v>523</v>
      </c>
      <c r="D30" s="313" t="s">
        <v>616</v>
      </c>
      <c r="E30" s="314">
        <v>42689</v>
      </c>
      <c r="F30" s="144">
        <v>18787448</v>
      </c>
      <c r="G30" s="144">
        <v>17474642</v>
      </c>
      <c r="H30" s="144">
        <f t="shared" si="0"/>
        <v>1312806</v>
      </c>
      <c r="I30" s="85">
        <v>283320</v>
      </c>
      <c r="J30" s="292"/>
    </row>
    <row r="31" spans="1:10" s="78" customFormat="1" ht="15" customHeight="1">
      <c r="A31" s="312" t="s">
        <v>192</v>
      </c>
      <c r="C31" s="311" t="s">
        <v>531</v>
      </c>
      <c r="D31" s="313" t="s">
        <v>617</v>
      </c>
      <c r="E31" s="314">
        <v>42870</v>
      </c>
      <c r="F31" s="144">
        <v>15559169</v>
      </c>
      <c r="G31" s="144">
        <v>8182296</v>
      </c>
      <c r="H31" s="144">
        <f t="shared" si="0"/>
        <v>7376873</v>
      </c>
      <c r="I31" s="85">
        <v>653640</v>
      </c>
      <c r="J31" s="292"/>
    </row>
    <row r="32" spans="1:10" s="78" customFormat="1" ht="15.75" customHeight="1">
      <c r="A32" s="312" t="s">
        <v>193</v>
      </c>
      <c r="C32" s="311" t="s">
        <v>945</v>
      </c>
      <c r="D32" s="313" t="s">
        <v>618</v>
      </c>
      <c r="E32" s="314">
        <v>42962</v>
      </c>
      <c r="F32" s="144">
        <v>10968358</v>
      </c>
      <c r="G32" s="144">
        <v>7960163</v>
      </c>
      <c r="H32" s="144">
        <f t="shared" si="0"/>
        <v>3008195</v>
      </c>
      <c r="I32" s="85">
        <v>213200</v>
      </c>
      <c r="J32" s="292"/>
    </row>
    <row r="33" spans="1:10" s="78" customFormat="1" ht="15" customHeight="1">
      <c r="A33" s="312" t="s">
        <v>658</v>
      </c>
      <c r="C33" s="311" t="s">
        <v>506</v>
      </c>
      <c r="D33" s="313" t="s">
        <v>1044</v>
      </c>
      <c r="E33" s="314">
        <v>43235</v>
      </c>
      <c r="F33" s="144">
        <v>6717439</v>
      </c>
      <c r="G33" s="144">
        <v>2982721</v>
      </c>
      <c r="H33" s="144">
        <f t="shared" si="0"/>
        <v>3734718</v>
      </c>
      <c r="I33" s="85">
        <v>342600</v>
      </c>
      <c r="J33" s="292"/>
    </row>
    <row r="34" spans="1:10" s="78" customFormat="1" ht="15" customHeight="1">
      <c r="A34" s="312" t="s">
        <v>195</v>
      </c>
      <c r="C34" s="311" t="s">
        <v>1165</v>
      </c>
      <c r="D34" s="313" t="s">
        <v>1045</v>
      </c>
      <c r="E34" s="314">
        <v>43419</v>
      </c>
      <c r="F34" s="144">
        <v>7174470</v>
      </c>
      <c r="G34" s="144">
        <v>3455111</v>
      </c>
      <c r="H34" s="144">
        <f t="shared" si="0"/>
        <v>3719359</v>
      </c>
      <c r="I34" s="85">
        <v>221400</v>
      </c>
      <c r="J34" s="292"/>
    </row>
    <row r="35" spans="1:10" s="78" customFormat="1" ht="15" customHeight="1">
      <c r="A35" s="312" t="s">
        <v>196</v>
      </c>
      <c r="C35" s="311" t="s">
        <v>945</v>
      </c>
      <c r="D35" s="313" t="s">
        <v>1046</v>
      </c>
      <c r="E35" s="314">
        <v>43511</v>
      </c>
      <c r="F35" s="144">
        <v>13090498</v>
      </c>
      <c r="G35" s="144">
        <v>6807387</v>
      </c>
      <c r="H35" s="144">
        <f t="shared" si="0"/>
        <v>6283111</v>
      </c>
      <c r="I35" s="85">
        <v>262400</v>
      </c>
      <c r="J35" s="292"/>
    </row>
    <row r="36" spans="1:10" s="78" customFormat="1" ht="15" customHeight="1">
      <c r="A36" s="312" t="s">
        <v>197</v>
      </c>
      <c r="C36" s="311" t="s">
        <v>1169</v>
      </c>
      <c r="D36" s="313" t="s">
        <v>1047</v>
      </c>
      <c r="E36" s="314">
        <v>43692</v>
      </c>
      <c r="F36" s="144">
        <v>18940932</v>
      </c>
      <c r="G36" s="144">
        <v>16275842</v>
      </c>
      <c r="H36" s="144">
        <f t="shared" si="0"/>
        <v>2665090</v>
      </c>
      <c r="I36" s="85">
        <v>196400</v>
      </c>
      <c r="J36" s="292"/>
    </row>
    <row r="37" spans="1:10" s="78" customFormat="1" ht="14.25" customHeight="1">
      <c r="A37" s="312" t="s">
        <v>198</v>
      </c>
      <c r="C37" s="311" t="s">
        <v>529</v>
      </c>
      <c r="D37" s="313" t="s">
        <v>1048</v>
      </c>
      <c r="E37" s="314">
        <v>43876</v>
      </c>
      <c r="F37" s="144">
        <v>9476268</v>
      </c>
      <c r="G37" s="144">
        <v>6293135</v>
      </c>
      <c r="H37" s="144">
        <f t="shared" si="0"/>
        <v>3183133</v>
      </c>
      <c r="I37" s="85">
        <v>216800</v>
      </c>
      <c r="J37" s="292"/>
    </row>
    <row r="38" spans="1:10" s="78" customFormat="1" ht="15" customHeight="1">
      <c r="A38" s="312" t="s">
        <v>199</v>
      </c>
      <c r="C38" s="311" t="s">
        <v>531</v>
      </c>
      <c r="D38" s="313" t="s">
        <v>1049</v>
      </c>
      <c r="E38" s="314">
        <v>43966</v>
      </c>
      <c r="F38" s="144">
        <v>7582183</v>
      </c>
      <c r="G38" s="144">
        <v>3331336</v>
      </c>
      <c r="H38" s="144">
        <f t="shared" si="0"/>
        <v>4250847</v>
      </c>
      <c r="I38" s="85">
        <v>115480</v>
      </c>
      <c r="J38" s="292"/>
    </row>
    <row r="39" spans="1:10" s="78" customFormat="1" ht="15" customHeight="1">
      <c r="A39" s="312" t="s">
        <v>200</v>
      </c>
      <c r="C39" s="311" t="s">
        <v>531</v>
      </c>
      <c r="D39" s="313" t="s">
        <v>1050</v>
      </c>
      <c r="E39" s="314">
        <v>44058</v>
      </c>
      <c r="F39" s="144">
        <v>17059306</v>
      </c>
      <c r="G39" s="144">
        <v>9008413</v>
      </c>
      <c r="H39" s="144">
        <f t="shared" si="0"/>
        <v>8050893</v>
      </c>
      <c r="I39" s="85">
        <v>333600</v>
      </c>
      <c r="J39" s="292"/>
    </row>
    <row r="40" spans="1:10" s="78" customFormat="1" ht="15" customHeight="1">
      <c r="A40" s="312" t="s">
        <v>201</v>
      </c>
      <c r="C40" s="311" t="s">
        <v>526</v>
      </c>
      <c r="D40" s="313" t="s">
        <v>1054</v>
      </c>
      <c r="E40" s="314">
        <v>44242</v>
      </c>
      <c r="F40" s="144">
        <v>10075573</v>
      </c>
      <c r="G40" s="144">
        <v>8761789</v>
      </c>
      <c r="H40" s="144">
        <f t="shared" si="0"/>
        <v>1313784</v>
      </c>
      <c r="I40" s="85">
        <v>276400</v>
      </c>
      <c r="J40" s="292"/>
    </row>
    <row r="41" spans="1:10" s="78" customFormat="1" ht="15" customHeight="1">
      <c r="A41" s="312" t="s">
        <v>659</v>
      </c>
      <c r="C41" s="311" t="s">
        <v>1169</v>
      </c>
      <c r="D41" s="313" t="s">
        <v>1055</v>
      </c>
      <c r="E41" s="314">
        <v>44331</v>
      </c>
      <c r="F41" s="144">
        <v>10066788</v>
      </c>
      <c r="G41" s="144">
        <v>3598301</v>
      </c>
      <c r="H41" s="144">
        <f t="shared" si="0"/>
        <v>6468487</v>
      </c>
      <c r="I41" s="85">
        <v>267200</v>
      </c>
      <c r="J41" s="292"/>
    </row>
    <row r="42" spans="1:10" s="78" customFormat="1" ht="15" customHeight="1">
      <c r="A42" s="312" t="s">
        <v>203</v>
      </c>
      <c r="C42" s="311" t="s">
        <v>1169</v>
      </c>
      <c r="D42" s="313" t="s">
        <v>1056</v>
      </c>
      <c r="E42" s="314">
        <v>44423</v>
      </c>
      <c r="F42" s="144">
        <v>9506382</v>
      </c>
      <c r="G42" s="144">
        <v>6486047</v>
      </c>
      <c r="H42" s="144">
        <f t="shared" si="0"/>
        <v>3020335</v>
      </c>
      <c r="I42" s="85">
        <v>458680</v>
      </c>
      <c r="J42" s="292"/>
    </row>
    <row r="43" spans="1:10" s="78" customFormat="1" ht="15" customHeight="1">
      <c r="A43" s="312" t="s">
        <v>204</v>
      </c>
      <c r="C43" s="311" t="s">
        <v>517</v>
      </c>
      <c r="D43" s="313" t="s">
        <v>1057</v>
      </c>
      <c r="E43" s="314">
        <v>44515</v>
      </c>
      <c r="F43" s="144">
        <v>30632194</v>
      </c>
      <c r="G43" s="144">
        <v>15313551</v>
      </c>
      <c r="H43" s="144">
        <f t="shared" si="0"/>
        <v>15318643</v>
      </c>
      <c r="I43" s="85">
        <v>1698700</v>
      </c>
      <c r="J43" s="292"/>
    </row>
    <row r="44" spans="1:10" s="78" customFormat="1" ht="15" customHeight="1">
      <c r="A44" s="312" t="s">
        <v>205</v>
      </c>
      <c r="C44" s="311" t="s">
        <v>535</v>
      </c>
      <c r="D44" s="313" t="s">
        <v>1058</v>
      </c>
      <c r="E44" s="314">
        <v>44788</v>
      </c>
      <c r="F44" s="144">
        <v>10127790</v>
      </c>
      <c r="G44" s="144">
        <v>8368250</v>
      </c>
      <c r="H44" s="144">
        <f t="shared" si="0"/>
        <v>1759540</v>
      </c>
      <c r="I44" s="85">
        <v>308800</v>
      </c>
      <c r="J44" s="292"/>
    </row>
    <row r="45" spans="1:10" s="78" customFormat="1" ht="15" customHeight="1">
      <c r="A45" s="312" t="s">
        <v>206</v>
      </c>
      <c r="C45" s="311" t="s">
        <v>538</v>
      </c>
      <c r="D45" s="313" t="s">
        <v>1059</v>
      </c>
      <c r="E45" s="314">
        <v>44880</v>
      </c>
      <c r="F45" s="144">
        <v>7423626</v>
      </c>
      <c r="G45" s="144">
        <v>3757419</v>
      </c>
      <c r="H45" s="144">
        <f t="shared" si="0"/>
        <v>3666207</v>
      </c>
      <c r="I45" s="85">
        <v>264000</v>
      </c>
      <c r="J45" s="292"/>
    </row>
    <row r="46" spans="1:10" s="78" customFormat="1" ht="15" customHeight="1">
      <c r="A46" s="312" t="s">
        <v>660</v>
      </c>
      <c r="C46" s="311" t="s">
        <v>520</v>
      </c>
      <c r="D46" s="313" t="s">
        <v>1060</v>
      </c>
      <c r="E46" s="314">
        <v>44972</v>
      </c>
      <c r="F46" s="144">
        <v>15782061</v>
      </c>
      <c r="G46" s="144">
        <v>10554981</v>
      </c>
      <c r="H46" s="144">
        <f t="shared" si="0"/>
        <v>5227080</v>
      </c>
      <c r="I46" s="85">
        <v>736600</v>
      </c>
      <c r="J46" s="292"/>
    </row>
    <row r="47" spans="1:10" s="78" customFormat="1" ht="15" customHeight="1">
      <c r="A47" s="312" t="s">
        <v>208</v>
      </c>
      <c r="C47" s="311" t="s">
        <v>498</v>
      </c>
      <c r="D47" s="313" t="s">
        <v>1061</v>
      </c>
      <c r="E47" s="314">
        <v>45153</v>
      </c>
      <c r="F47" s="144">
        <v>22659044</v>
      </c>
      <c r="G47" s="144">
        <v>19545387</v>
      </c>
      <c r="H47" s="144">
        <f t="shared" si="0"/>
        <v>3113657</v>
      </c>
      <c r="I47" s="85">
        <v>676564</v>
      </c>
      <c r="J47" s="292"/>
    </row>
    <row r="48" spans="1:10" s="78" customFormat="1" ht="15" customHeight="1">
      <c r="A48" s="312" t="s">
        <v>209</v>
      </c>
      <c r="C48" s="311" t="s">
        <v>523</v>
      </c>
      <c r="D48" s="313" t="s">
        <v>1062</v>
      </c>
      <c r="E48" s="314">
        <v>45611</v>
      </c>
      <c r="F48" s="144">
        <v>9604162</v>
      </c>
      <c r="G48" s="144">
        <v>3973819</v>
      </c>
      <c r="H48" s="144">
        <f t="shared" si="0"/>
        <v>5630343</v>
      </c>
      <c r="I48" s="85">
        <v>360400</v>
      </c>
      <c r="J48" s="292"/>
    </row>
    <row r="49" spans="1:10" s="78" customFormat="1" ht="15" customHeight="1">
      <c r="A49" s="312" t="s">
        <v>210</v>
      </c>
      <c r="C49" s="311" t="s">
        <v>538</v>
      </c>
      <c r="D49" s="313" t="s">
        <v>1063</v>
      </c>
      <c r="E49" s="314">
        <v>45703</v>
      </c>
      <c r="F49" s="144">
        <v>9509170</v>
      </c>
      <c r="G49" s="144">
        <v>4056859</v>
      </c>
      <c r="H49" s="144">
        <f t="shared" si="0"/>
        <v>5452311</v>
      </c>
      <c r="I49" s="85">
        <v>402400</v>
      </c>
      <c r="J49" s="292"/>
    </row>
    <row r="50" spans="1:10" s="78" customFormat="1" ht="15" customHeight="1">
      <c r="A50" s="312" t="s">
        <v>211</v>
      </c>
      <c r="C50" s="311" t="s">
        <v>515</v>
      </c>
      <c r="D50" s="313" t="s">
        <v>1064</v>
      </c>
      <c r="E50" s="314">
        <v>45884</v>
      </c>
      <c r="F50" s="144">
        <v>11187207</v>
      </c>
      <c r="G50" s="144">
        <v>5743025</v>
      </c>
      <c r="H50" s="144">
        <f t="shared" si="0"/>
        <v>5444182</v>
      </c>
      <c r="I50" s="85">
        <v>748920</v>
      </c>
      <c r="J50" s="292"/>
    </row>
    <row r="51" spans="1:10" s="78" customFormat="1" ht="15" customHeight="1">
      <c r="A51" s="312" t="s">
        <v>212</v>
      </c>
      <c r="C51" s="311" t="s">
        <v>512</v>
      </c>
      <c r="D51" s="313" t="s">
        <v>1065</v>
      </c>
      <c r="E51" s="314">
        <v>46068</v>
      </c>
      <c r="F51" s="144">
        <v>12837916</v>
      </c>
      <c r="G51" s="144">
        <v>11944072</v>
      </c>
      <c r="H51" s="144">
        <f t="shared" si="0"/>
        <v>893844</v>
      </c>
      <c r="I51" s="85">
        <v>55300</v>
      </c>
      <c r="J51" s="292"/>
    </row>
    <row r="52" spans="1:10" s="78" customFormat="1" ht="15" customHeight="1">
      <c r="A52" s="312" t="s">
        <v>213</v>
      </c>
      <c r="C52" s="315">
        <v>6.75</v>
      </c>
      <c r="D52" s="313" t="s">
        <v>1066</v>
      </c>
      <c r="E52" s="314">
        <v>46249</v>
      </c>
      <c r="F52" s="144">
        <v>8810418</v>
      </c>
      <c r="G52" s="144">
        <v>4769915</v>
      </c>
      <c r="H52" s="144">
        <f t="shared" si="0"/>
        <v>4040503</v>
      </c>
      <c r="I52" s="85">
        <v>236700</v>
      </c>
      <c r="J52" s="292"/>
    </row>
    <row r="53" spans="1:10" s="78" customFormat="1" ht="14.25" customHeight="1">
      <c r="A53" s="312" t="s">
        <v>661</v>
      </c>
      <c r="C53" s="311" t="s">
        <v>503</v>
      </c>
      <c r="D53" s="313" t="s">
        <v>1067</v>
      </c>
      <c r="E53" s="314">
        <v>46341</v>
      </c>
      <c r="F53" s="144">
        <v>10860177</v>
      </c>
      <c r="G53" s="144">
        <v>4325635</v>
      </c>
      <c r="H53" s="144">
        <f t="shared" si="0"/>
        <v>6534542</v>
      </c>
      <c r="I53" s="85">
        <v>117400</v>
      </c>
      <c r="J53" s="292"/>
    </row>
    <row r="54" spans="1:9" s="78" customFormat="1" ht="15" customHeight="1">
      <c r="A54" s="312" t="s">
        <v>214</v>
      </c>
      <c r="C54" s="316" t="s">
        <v>533</v>
      </c>
      <c r="D54" s="313" t="s">
        <v>1068</v>
      </c>
      <c r="E54" s="314">
        <v>46433</v>
      </c>
      <c r="F54" s="144">
        <v>9521971</v>
      </c>
      <c r="G54" s="144">
        <v>4643227</v>
      </c>
      <c r="H54" s="144">
        <f t="shared" si="0"/>
        <v>4878744</v>
      </c>
      <c r="I54" s="85">
        <v>20800</v>
      </c>
    </row>
    <row r="55" spans="1:9" s="78" customFormat="1" ht="15" customHeight="1">
      <c r="A55" s="312" t="s">
        <v>215</v>
      </c>
      <c r="C55" s="316" t="s">
        <v>939</v>
      </c>
      <c r="D55" s="313" t="s">
        <v>1069</v>
      </c>
      <c r="E55" s="314">
        <v>46614</v>
      </c>
      <c r="F55" s="144">
        <v>9196756</v>
      </c>
      <c r="G55" s="144">
        <v>5923421</v>
      </c>
      <c r="H55" s="144">
        <f t="shared" si="0"/>
        <v>3273335</v>
      </c>
      <c r="I55" s="85">
        <v>76800</v>
      </c>
    </row>
    <row r="56" spans="1:9" s="78" customFormat="1" ht="14.25" customHeight="1">
      <c r="A56" s="312" t="s">
        <v>216</v>
      </c>
      <c r="C56" s="316" t="s">
        <v>530</v>
      </c>
      <c r="D56" s="313" t="s">
        <v>1070</v>
      </c>
      <c r="E56" s="314">
        <v>46706</v>
      </c>
      <c r="F56" s="144">
        <v>22021339</v>
      </c>
      <c r="G56" s="144">
        <v>8211140</v>
      </c>
      <c r="H56" s="144">
        <f t="shared" si="0"/>
        <v>13810199</v>
      </c>
      <c r="I56" s="85">
        <v>288400</v>
      </c>
    </row>
    <row r="57" spans="1:9" s="78" customFormat="1" ht="15" customHeight="1">
      <c r="A57" s="283" t="s">
        <v>217</v>
      </c>
      <c r="C57" s="316" t="s">
        <v>494</v>
      </c>
      <c r="D57" s="317" t="s">
        <v>1071</v>
      </c>
      <c r="E57" s="314">
        <v>46980</v>
      </c>
      <c r="F57" s="144">
        <v>11776201</v>
      </c>
      <c r="G57" s="144">
        <v>10736340</v>
      </c>
      <c r="H57" s="144">
        <f t="shared" si="0"/>
        <v>1039861</v>
      </c>
      <c r="I57" s="85">
        <v>279200</v>
      </c>
    </row>
    <row r="58" spans="1:9" s="78" customFormat="1" ht="15" customHeight="1">
      <c r="A58" s="283" t="s">
        <v>218</v>
      </c>
      <c r="C58" s="316" t="s">
        <v>532</v>
      </c>
      <c r="D58" s="317" t="s">
        <v>1072</v>
      </c>
      <c r="E58" s="314">
        <v>47072</v>
      </c>
      <c r="F58" s="144">
        <v>10947052</v>
      </c>
      <c r="G58" s="144">
        <v>10084028</v>
      </c>
      <c r="H58" s="144">
        <f>SUM(F58-G58)</f>
        <v>863024</v>
      </c>
      <c r="I58" s="85">
        <v>51000</v>
      </c>
    </row>
    <row r="59" spans="1:10" s="78" customFormat="1" ht="15" customHeight="1">
      <c r="A59" s="283" t="s">
        <v>219</v>
      </c>
      <c r="C59" s="316" t="s">
        <v>532</v>
      </c>
      <c r="D59" s="317" t="s">
        <v>433</v>
      </c>
      <c r="E59" s="314">
        <v>47164</v>
      </c>
      <c r="F59" s="144">
        <v>11350341</v>
      </c>
      <c r="G59" s="144">
        <v>10311045</v>
      </c>
      <c r="H59" s="144">
        <f>SUM(F59-G59)</f>
        <v>1039296</v>
      </c>
      <c r="I59" s="85">
        <v>28400</v>
      </c>
      <c r="J59" s="390"/>
    </row>
    <row r="60" spans="1:9" s="78" customFormat="1" ht="15" customHeight="1">
      <c r="A60" s="283" t="s">
        <v>220</v>
      </c>
      <c r="C60" s="316" t="s">
        <v>530</v>
      </c>
      <c r="D60" s="313" t="s">
        <v>889</v>
      </c>
      <c r="E60" s="314">
        <v>47345</v>
      </c>
      <c r="F60" s="144">
        <v>11178580</v>
      </c>
      <c r="G60" s="144">
        <v>9970058</v>
      </c>
      <c r="H60" s="144">
        <f>SUM(F60-G60)</f>
        <v>1208522</v>
      </c>
      <c r="I60" s="85">
        <v>92000</v>
      </c>
    </row>
    <row r="61" spans="1:9" s="78" customFormat="1" ht="15" customHeight="1">
      <c r="A61" s="283" t="s">
        <v>221</v>
      </c>
      <c r="C61" s="311" t="s">
        <v>498</v>
      </c>
      <c r="D61" s="313" t="s">
        <v>1021</v>
      </c>
      <c r="E61" s="314">
        <v>47618</v>
      </c>
      <c r="F61" s="144">
        <v>17043162</v>
      </c>
      <c r="G61" s="144">
        <v>13228558</v>
      </c>
      <c r="H61" s="144">
        <f>SUM(F61-G61)</f>
        <v>3814604</v>
      </c>
      <c r="I61" s="85">
        <v>121424</v>
      </c>
    </row>
    <row r="62" spans="1:9" s="78" customFormat="1" ht="15" customHeight="1">
      <c r="A62" s="312" t="s">
        <v>893</v>
      </c>
      <c r="C62" s="316" t="s">
        <v>528</v>
      </c>
      <c r="D62" s="313" t="s">
        <v>664</v>
      </c>
      <c r="E62" s="314">
        <v>47894</v>
      </c>
      <c r="F62" s="144">
        <v>16427648</v>
      </c>
      <c r="G62" s="144">
        <v>16202048</v>
      </c>
      <c r="H62" s="144">
        <f>SUM(F62-G62)</f>
        <v>225600</v>
      </c>
      <c r="I62" s="85">
        <v>0</v>
      </c>
    </row>
    <row r="63" spans="4:9" s="78" customFormat="1" ht="14.25" customHeight="1">
      <c r="D63" s="318"/>
      <c r="E63" s="319"/>
      <c r="F63" s="318"/>
      <c r="G63" s="318"/>
      <c r="H63" s="318"/>
      <c r="I63" s="85"/>
    </row>
    <row r="64" spans="1:9" s="78" customFormat="1" ht="15" customHeight="1">
      <c r="A64" s="289" t="s">
        <v>293</v>
      </c>
      <c r="B64" s="311"/>
      <c r="C64" s="316"/>
      <c r="D64" s="313" t="s">
        <v>13</v>
      </c>
      <c r="E64" s="320"/>
      <c r="F64" s="144">
        <f>SUM(F20:F63)</f>
        <v>499889485</v>
      </c>
      <c r="G64" s="144">
        <f>SUM(G20:G63)</f>
        <v>340405821</v>
      </c>
      <c r="H64" s="144">
        <f>SUM(H20:H63)</f>
        <v>159483664</v>
      </c>
      <c r="I64" s="85">
        <f>SUM(I20:I63)</f>
        <v>11605544</v>
      </c>
    </row>
    <row r="65" spans="1:9" s="78" customFormat="1" ht="12.75" customHeight="1">
      <c r="A65" s="289"/>
      <c r="B65" s="311"/>
      <c r="C65" s="316"/>
      <c r="D65" s="321"/>
      <c r="E65" s="322"/>
      <c r="F65" s="323"/>
      <c r="G65" s="323"/>
      <c r="H65" s="323"/>
      <c r="I65" s="85"/>
    </row>
    <row r="66" spans="1:10" s="78" customFormat="1" ht="14.25" customHeight="1">
      <c r="A66" s="142" t="s">
        <v>1170</v>
      </c>
      <c r="D66" s="82"/>
      <c r="E66" s="324"/>
      <c r="F66" s="144"/>
      <c r="G66" s="144"/>
      <c r="H66" s="144"/>
      <c r="I66" s="85"/>
      <c r="J66" s="292"/>
    </row>
    <row r="67" spans="1:10" s="78" customFormat="1" ht="15" customHeight="1">
      <c r="A67" s="142" t="s">
        <v>926</v>
      </c>
      <c r="B67" s="77" t="s">
        <v>933</v>
      </c>
      <c r="C67" s="311" t="s">
        <v>934</v>
      </c>
      <c r="D67" s="82"/>
      <c r="E67" s="324"/>
      <c r="F67" s="144"/>
      <c r="G67" s="144"/>
      <c r="H67" s="144"/>
      <c r="I67" s="85"/>
      <c r="J67" s="292"/>
    </row>
    <row r="68" spans="1:9" s="78" customFormat="1" ht="15" customHeight="1">
      <c r="A68" s="312" t="s">
        <v>682</v>
      </c>
      <c r="B68" s="311" t="s">
        <v>944</v>
      </c>
      <c r="C68" s="316" t="s">
        <v>1172</v>
      </c>
      <c r="D68" s="313" t="s">
        <v>585</v>
      </c>
      <c r="E68" s="314">
        <v>39097</v>
      </c>
      <c r="F68" s="144">
        <v>18351890.60631</v>
      </c>
      <c r="G68" s="144">
        <v>18351890.60631</v>
      </c>
      <c r="H68" s="144">
        <f aca="true" t="shared" si="1" ref="H68:H75">SUM(F68-G68)</f>
        <v>0</v>
      </c>
      <c r="I68" s="85">
        <v>0</v>
      </c>
    </row>
    <row r="69" spans="1:9" s="78" customFormat="1" ht="15" customHeight="1">
      <c r="A69" s="312" t="s">
        <v>222</v>
      </c>
      <c r="B69" s="311" t="s">
        <v>944</v>
      </c>
      <c r="C69" s="316" t="s">
        <v>1171</v>
      </c>
      <c r="D69" s="313" t="s">
        <v>1091</v>
      </c>
      <c r="E69" s="320">
        <v>39462</v>
      </c>
      <c r="F69" s="144">
        <v>19200975.6015</v>
      </c>
      <c r="G69" s="144">
        <v>19086762.6015</v>
      </c>
      <c r="H69" s="144">
        <f t="shared" si="1"/>
        <v>114213</v>
      </c>
      <c r="I69" s="85">
        <v>0</v>
      </c>
    </row>
    <row r="70" spans="1:9" s="78" customFormat="1" ht="15" customHeight="1">
      <c r="A70" s="312" t="s">
        <v>223</v>
      </c>
      <c r="B70" s="311" t="s">
        <v>944</v>
      </c>
      <c r="C70" s="316" t="s">
        <v>1025</v>
      </c>
      <c r="D70" s="313" t="s">
        <v>1026</v>
      </c>
      <c r="E70" s="320">
        <v>39828</v>
      </c>
      <c r="F70" s="144">
        <v>17891786.8647</v>
      </c>
      <c r="G70" s="144">
        <v>17891786.8647</v>
      </c>
      <c r="H70" s="144">
        <f t="shared" si="1"/>
        <v>0</v>
      </c>
      <c r="I70" s="85">
        <v>0</v>
      </c>
    </row>
    <row r="71" spans="1:9" s="78" customFormat="1" ht="15" customHeight="1">
      <c r="A71" s="312" t="s">
        <v>650</v>
      </c>
      <c r="B71" s="311" t="s">
        <v>944</v>
      </c>
      <c r="C71" s="316" t="s">
        <v>534</v>
      </c>
      <c r="D71" s="313" t="s">
        <v>21</v>
      </c>
      <c r="E71" s="320">
        <v>40193</v>
      </c>
      <c r="F71" s="144">
        <v>12415813.33173</v>
      </c>
      <c r="G71" s="144">
        <v>12415813.33173</v>
      </c>
      <c r="H71" s="144">
        <f t="shared" si="1"/>
        <v>0</v>
      </c>
      <c r="I71" s="85">
        <v>0</v>
      </c>
    </row>
    <row r="72" spans="1:9" s="78" customFormat="1" ht="15" customHeight="1">
      <c r="A72" s="312" t="s">
        <v>1176</v>
      </c>
      <c r="B72" s="311" t="s">
        <v>944</v>
      </c>
      <c r="C72" s="316" t="s">
        <v>1177</v>
      </c>
      <c r="D72" s="313" t="s">
        <v>360</v>
      </c>
      <c r="E72" s="320">
        <v>40558</v>
      </c>
      <c r="F72" s="144">
        <v>11662858.32576</v>
      </c>
      <c r="G72" s="144">
        <v>11662858.32576</v>
      </c>
      <c r="H72" s="144">
        <f t="shared" si="1"/>
        <v>0</v>
      </c>
      <c r="I72" s="85">
        <v>0</v>
      </c>
    </row>
    <row r="73" spans="1:9" s="78" customFormat="1" ht="15" customHeight="1">
      <c r="A73" s="312" t="s">
        <v>972</v>
      </c>
      <c r="B73" s="311" t="s">
        <v>944</v>
      </c>
      <c r="C73" s="316" t="s">
        <v>1172</v>
      </c>
      <c r="D73" s="313" t="s">
        <v>978</v>
      </c>
      <c r="E73" s="320">
        <v>40923</v>
      </c>
      <c r="F73" s="144">
        <v>6239350.67945</v>
      </c>
      <c r="G73" s="144">
        <v>6239350.67945</v>
      </c>
      <c r="H73" s="144">
        <f>SUM(F73-G73)</f>
        <v>0</v>
      </c>
      <c r="I73" s="85">
        <v>0</v>
      </c>
    </row>
    <row r="74" spans="1:9" s="78" customFormat="1" ht="15" customHeight="1">
      <c r="A74" s="312" t="s">
        <v>633</v>
      </c>
      <c r="B74" s="311" t="s">
        <v>516</v>
      </c>
      <c r="C74" s="316">
        <v>3</v>
      </c>
      <c r="D74" s="313" t="s">
        <v>686</v>
      </c>
      <c r="E74" s="320">
        <v>41105</v>
      </c>
      <c r="F74" s="144">
        <v>23621455.29723</v>
      </c>
      <c r="G74" s="144">
        <v>23621455.29723</v>
      </c>
      <c r="H74" s="144">
        <f>SUM(F74-G74)</f>
        <v>0</v>
      </c>
      <c r="I74" s="85">
        <v>0</v>
      </c>
    </row>
    <row r="75" spans="1:9" s="78" customFormat="1" ht="15" customHeight="1">
      <c r="A75" s="312" t="s">
        <v>701</v>
      </c>
      <c r="B75" s="311" t="s">
        <v>516</v>
      </c>
      <c r="C75" s="316" t="s">
        <v>235</v>
      </c>
      <c r="D75" s="313" t="s">
        <v>702</v>
      </c>
      <c r="E75" s="320">
        <v>41470</v>
      </c>
      <c r="F75" s="144">
        <v>20101157.60016</v>
      </c>
      <c r="G75" s="144">
        <v>20101157.60016</v>
      </c>
      <c r="H75" s="144">
        <f t="shared" si="1"/>
        <v>0</v>
      </c>
      <c r="I75" s="85">
        <v>0</v>
      </c>
    </row>
    <row r="76" spans="1:9" s="78" customFormat="1" ht="14.25" customHeight="1">
      <c r="A76" s="312" t="s">
        <v>848</v>
      </c>
      <c r="B76" s="311" t="s">
        <v>944</v>
      </c>
      <c r="C76" s="316">
        <v>2</v>
      </c>
      <c r="D76" s="313" t="s">
        <v>849</v>
      </c>
      <c r="E76" s="320">
        <v>41654</v>
      </c>
      <c r="F76" s="144">
        <v>12000286</v>
      </c>
      <c r="G76" s="144">
        <v>12000286</v>
      </c>
      <c r="H76" s="144">
        <f>SUM(F76-G76)</f>
        <v>0</v>
      </c>
      <c r="I76" s="85">
        <v>0</v>
      </c>
    </row>
    <row r="77" spans="1:9" s="78" customFormat="1" ht="15" customHeight="1">
      <c r="A77" s="312"/>
      <c r="B77" s="311"/>
      <c r="C77" s="316"/>
      <c r="D77" s="313"/>
      <c r="E77" s="320"/>
      <c r="F77" s="144"/>
      <c r="G77" s="144"/>
      <c r="H77" s="144"/>
      <c r="I77" s="85"/>
    </row>
    <row r="78" spans="1:9" s="78" customFormat="1" ht="15" customHeight="1">
      <c r="A78" s="289" t="s">
        <v>132</v>
      </c>
      <c r="B78" s="311"/>
      <c r="C78" s="316"/>
      <c r="D78" s="313" t="s">
        <v>13</v>
      </c>
      <c r="E78" s="320"/>
      <c r="F78" s="144">
        <f>SUM(F68:F77)</f>
        <v>141485574.30684003</v>
      </c>
      <c r="G78" s="144">
        <f>SUM(G68:G77)</f>
        <v>141371361.30684003</v>
      </c>
      <c r="H78" s="144">
        <f>SUM(H68:H77)</f>
        <v>114213</v>
      </c>
      <c r="I78" s="85">
        <v>0</v>
      </c>
    </row>
    <row r="79" spans="1:9" s="78" customFormat="1" ht="15" customHeight="1">
      <c r="A79" s="289"/>
      <c r="B79" s="311"/>
      <c r="C79" s="316"/>
      <c r="D79" s="313"/>
      <c r="E79" s="320"/>
      <c r="F79" s="144"/>
      <c r="G79" s="144"/>
      <c r="H79" s="144"/>
      <c r="I79" s="85"/>
    </row>
    <row r="80" spans="1:9" s="78" customFormat="1" ht="15" customHeight="1">
      <c r="A80" s="142" t="s">
        <v>1173</v>
      </c>
      <c r="D80" s="82"/>
      <c r="E80" s="324"/>
      <c r="F80" s="144"/>
      <c r="G80" s="144"/>
      <c r="H80" s="144"/>
      <c r="I80" s="85"/>
    </row>
    <row r="81" spans="1:9" s="78" customFormat="1" ht="15" customHeight="1">
      <c r="A81" s="142" t="s">
        <v>926</v>
      </c>
      <c r="B81" s="77"/>
      <c r="C81" s="311" t="s">
        <v>934</v>
      </c>
      <c r="D81" s="82"/>
      <c r="E81" s="324"/>
      <c r="F81" s="144"/>
      <c r="G81" s="144"/>
      <c r="H81" s="144"/>
      <c r="I81" s="85"/>
    </row>
    <row r="82" spans="1:9" s="78" customFormat="1" ht="15" customHeight="1">
      <c r="A82" s="312" t="s">
        <v>651</v>
      </c>
      <c r="B82" s="311"/>
      <c r="C82" s="316" t="s">
        <v>1171</v>
      </c>
      <c r="D82" s="313" t="s">
        <v>1092</v>
      </c>
      <c r="E82" s="314">
        <v>46858</v>
      </c>
      <c r="F82" s="144">
        <v>19146927.37196</v>
      </c>
      <c r="G82" s="144">
        <v>19141223.27196</v>
      </c>
      <c r="H82" s="144">
        <f>SUM(F82-G82)</f>
        <v>5704.099999997765</v>
      </c>
      <c r="I82" s="85">
        <v>0</v>
      </c>
    </row>
    <row r="83" spans="1:9" s="78" customFormat="1" ht="15" customHeight="1">
      <c r="A83" s="312" t="s">
        <v>652</v>
      </c>
      <c r="B83" s="311"/>
      <c r="C83" s="316" t="s">
        <v>1025</v>
      </c>
      <c r="D83" s="313" t="s">
        <v>17</v>
      </c>
      <c r="E83" s="314">
        <v>47223</v>
      </c>
      <c r="F83" s="144">
        <v>21883520.01864</v>
      </c>
      <c r="G83" s="144">
        <v>21743218.76864</v>
      </c>
      <c r="H83" s="144">
        <f>SUM(F83-G83)</f>
        <v>140301.25</v>
      </c>
      <c r="I83" s="85">
        <v>0</v>
      </c>
    </row>
    <row r="84" spans="1:9" s="78" customFormat="1" ht="15" customHeight="1">
      <c r="A84" s="312" t="s">
        <v>795</v>
      </c>
      <c r="B84" s="311"/>
      <c r="C84" s="334" t="s">
        <v>1172</v>
      </c>
      <c r="D84" s="313" t="s">
        <v>796</v>
      </c>
      <c r="E84" s="314">
        <v>48319</v>
      </c>
      <c r="F84" s="144">
        <v>5210368.64955</v>
      </c>
      <c r="G84" s="144">
        <v>5210368.64955</v>
      </c>
      <c r="H84" s="144">
        <f>SUM(F84-G84)</f>
        <v>0</v>
      </c>
      <c r="I84" s="85">
        <v>0</v>
      </c>
    </row>
    <row r="85" spans="1:9" s="78" customFormat="1" ht="15" customHeight="1">
      <c r="A85" s="312"/>
      <c r="B85" s="311"/>
      <c r="C85" s="316"/>
      <c r="D85" s="313"/>
      <c r="E85" s="325"/>
      <c r="F85" s="144"/>
      <c r="G85" s="144"/>
      <c r="H85" s="144"/>
      <c r="I85" s="85"/>
    </row>
    <row r="86" spans="1:9" s="78" customFormat="1" ht="15" customHeight="1">
      <c r="A86" s="289" t="s">
        <v>1093</v>
      </c>
      <c r="B86" s="311"/>
      <c r="C86" s="316"/>
      <c r="D86" s="313" t="s">
        <v>13</v>
      </c>
      <c r="E86" s="326"/>
      <c r="F86" s="144">
        <f>SUM(F80:F84)</f>
        <v>46240816.040149994</v>
      </c>
      <c r="G86" s="144">
        <f>SUM(G80:G84)</f>
        <v>46094810.69015</v>
      </c>
      <c r="H86" s="327">
        <f>SUM(H79:H84)</f>
        <v>146005.34999999776</v>
      </c>
      <c r="I86" s="85">
        <f>SUM(I82:I84)</f>
        <v>0</v>
      </c>
    </row>
    <row r="87" spans="1:9" s="110" customFormat="1" ht="15" customHeight="1" thickBot="1">
      <c r="A87" s="328"/>
      <c r="B87" s="329"/>
      <c r="C87" s="330"/>
      <c r="D87" s="331"/>
      <c r="E87" s="332"/>
      <c r="F87" s="333"/>
      <c r="G87" s="333"/>
      <c r="H87" s="333"/>
      <c r="I87" s="333"/>
    </row>
    <row r="88" spans="1:10" s="78" customFormat="1" ht="16.5" thickTop="1">
      <c r="A88" s="75"/>
      <c r="B88" s="76" t="s">
        <v>830</v>
      </c>
      <c r="C88" s="76"/>
      <c r="D88" s="76"/>
      <c r="E88" s="77"/>
      <c r="F88" s="77"/>
      <c r="G88" s="77"/>
      <c r="H88" s="77"/>
      <c r="I88" s="77"/>
      <c r="J88" s="75">
        <v>11</v>
      </c>
    </row>
    <row r="89" spans="1:10" s="78" customFormat="1" ht="10.5" customHeight="1" thickBo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</row>
    <row r="90" spans="1:10" s="78" customFormat="1" ht="15" customHeight="1" thickTop="1">
      <c r="A90" s="79"/>
      <c r="B90" s="79"/>
      <c r="C90" s="79"/>
      <c r="D90" s="80"/>
      <c r="E90" s="80"/>
      <c r="F90" s="80"/>
      <c r="G90" s="79"/>
      <c r="H90" s="79"/>
      <c r="I90" s="81"/>
      <c r="J90" s="79"/>
    </row>
    <row r="91" spans="4:10" s="78" customFormat="1" ht="15" customHeight="1">
      <c r="D91" s="302" t="s">
        <v>1027</v>
      </c>
      <c r="E91" s="82"/>
      <c r="F91" s="303" t="s">
        <v>356</v>
      </c>
      <c r="G91" s="77"/>
      <c r="H91" s="77"/>
      <c r="I91" s="278"/>
      <c r="J91" s="292"/>
    </row>
    <row r="92" spans="1:10" s="78" customFormat="1" ht="15" customHeight="1">
      <c r="A92" s="77" t="s">
        <v>452</v>
      </c>
      <c r="B92" s="77"/>
      <c r="C92" s="77"/>
      <c r="D92" s="302" t="s">
        <v>1028</v>
      </c>
      <c r="E92" s="302" t="s">
        <v>1029</v>
      </c>
      <c r="F92" s="82"/>
      <c r="I92" s="304" t="s">
        <v>993</v>
      </c>
      <c r="J92" s="293"/>
    </row>
    <row r="93" spans="4:10" s="78" customFormat="1" ht="15" customHeight="1">
      <c r="D93" s="302" t="s">
        <v>600</v>
      </c>
      <c r="E93" s="82"/>
      <c r="F93" s="305" t="s">
        <v>601</v>
      </c>
      <c r="G93" s="305" t="s">
        <v>602</v>
      </c>
      <c r="H93" s="305" t="s">
        <v>602</v>
      </c>
      <c r="I93" s="306" t="s">
        <v>994</v>
      </c>
      <c r="J93" s="66"/>
    </row>
    <row r="94" spans="1:10" s="78" customFormat="1" ht="15" customHeight="1">
      <c r="A94" s="83"/>
      <c r="B94" s="83"/>
      <c r="C94" s="83"/>
      <c r="D94" s="84"/>
      <c r="E94" s="84"/>
      <c r="F94" s="307" t="s">
        <v>16</v>
      </c>
      <c r="G94" s="308" t="s">
        <v>603</v>
      </c>
      <c r="H94" s="308" t="s">
        <v>604</v>
      </c>
      <c r="I94" s="309"/>
      <c r="J94" s="301"/>
    </row>
    <row r="95" spans="1:10" s="78" customFormat="1" ht="14.25" customHeight="1">
      <c r="A95" s="124"/>
      <c r="B95" s="124"/>
      <c r="C95" s="124"/>
      <c r="D95" s="82"/>
      <c r="E95" s="82"/>
      <c r="F95" s="310"/>
      <c r="G95" s="302"/>
      <c r="H95" s="302"/>
      <c r="I95" s="85"/>
      <c r="J95" s="295"/>
    </row>
    <row r="96" spans="1:10" s="78" customFormat="1" ht="14.25" customHeight="1">
      <c r="A96" s="142" t="s">
        <v>932</v>
      </c>
      <c r="D96" s="82"/>
      <c r="E96" s="82"/>
      <c r="F96" s="82"/>
      <c r="G96" s="82"/>
      <c r="H96" s="82"/>
      <c r="I96" s="85"/>
      <c r="J96" s="292"/>
    </row>
    <row r="97" spans="1:10" s="78" customFormat="1" ht="15" customHeight="1">
      <c r="A97" s="142" t="s">
        <v>926</v>
      </c>
      <c r="B97" s="77" t="s">
        <v>933</v>
      </c>
      <c r="C97" s="311" t="s">
        <v>934</v>
      </c>
      <c r="D97" s="82"/>
      <c r="E97" s="82"/>
      <c r="F97" s="82"/>
      <c r="G97" s="82"/>
      <c r="H97" s="82"/>
      <c r="I97" s="85"/>
      <c r="J97" s="292"/>
    </row>
    <row r="98" spans="1:9" s="78" customFormat="1" ht="14.25" customHeight="1">
      <c r="A98" s="312" t="s">
        <v>833</v>
      </c>
      <c r="B98" s="311" t="s">
        <v>944</v>
      </c>
      <c r="C98" s="311" t="s">
        <v>943</v>
      </c>
      <c r="D98" s="313" t="s">
        <v>834</v>
      </c>
      <c r="E98" s="314">
        <v>38032</v>
      </c>
      <c r="F98" s="144">
        <v>12955077</v>
      </c>
      <c r="G98" s="144">
        <v>10658526</v>
      </c>
      <c r="H98" s="144">
        <f aca="true" t="shared" si="2" ref="H98:H167">SUM(F98-G98)</f>
        <v>2296551</v>
      </c>
      <c r="I98" s="85">
        <v>116200</v>
      </c>
    </row>
    <row r="99" spans="1:9" s="78" customFormat="1" ht="14.25" customHeight="1">
      <c r="A99" s="312" t="s">
        <v>662</v>
      </c>
      <c r="B99" s="311" t="s">
        <v>938</v>
      </c>
      <c r="C99" s="316" t="s">
        <v>536</v>
      </c>
      <c r="D99" s="313" t="s">
        <v>434</v>
      </c>
      <c r="E99" s="314">
        <v>38032</v>
      </c>
      <c r="F99" s="144">
        <v>17823228</v>
      </c>
      <c r="G99" s="144">
        <v>17791697</v>
      </c>
      <c r="H99" s="144">
        <f t="shared" si="2"/>
        <v>31531</v>
      </c>
      <c r="I99" s="85">
        <v>9446</v>
      </c>
    </row>
    <row r="100" spans="1:9" s="78" customFormat="1" ht="14.25" customHeight="1">
      <c r="A100" s="312" t="s">
        <v>1205</v>
      </c>
      <c r="B100" s="311" t="s">
        <v>493</v>
      </c>
      <c r="C100" s="316">
        <v>3</v>
      </c>
      <c r="D100" s="313" t="s">
        <v>1207</v>
      </c>
      <c r="E100" s="314">
        <v>38046</v>
      </c>
      <c r="F100" s="144">
        <v>31746067</v>
      </c>
      <c r="G100" s="144">
        <v>31746067</v>
      </c>
      <c r="H100" s="144">
        <f>SUM(F100-G100)</f>
        <v>0</v>
      </c>
      <c r="I100" s="85">
        <v>0</v>
      </c>
    </row>
    <row r="101" spans="1:9" s="78" customFormat="1" ht="14.25" customHeight="1">
      <c r="A101" s="312" t="s">
        <v>627</v>
      </c>
      <c r="B101" s="311" t="s">
        <v>496</v>
      </c>
      <c r="C101" s="316" t="s">
        <v>1171</v>
      </c>
      <c r="D101" s="313" t="s">
        <v>791</v>
      </c>
      <c r="E101" s="314">
        <v>38077</v>
      </c>
      <c r="F101" s="144">
        <v>32873508</v>
      </c>
      <c r="G101" s="144">
        <v>32870308</v>
      </c>
      <c r="H101" s="144">
        <f>SUM(F101-G101)</f>
        <v>3200</v>
      </c>
      <c r="I101" s="85">
        <v>0</v>
      </c>
    </row>
    <row r="102" spans="1:9" s="78" customFormat="1" ht="14.25" customHeight="1">
      <c r="A102" s="312" t="s">
        <v>792</v>
      </c>
      <c r="B102" s="311" t="s">
        <v>502</v>
      </c>
      <c r="C102" s="316" t="s">
        <v>1172</v>
      </c>
      <c r="D102" s="313" t="s">
        <v>793</v>
      </c>
      <c r="E102" s="314">
        <v>38107</v>
      </c>
      <c r="F102" s="144">
        <v>32654971</v>
      </c>
      <c r="G102" s="144">
        <v>32653371</v>
      </c>
      <c r="H102" s="144">
        <f>SUM(F102-G102)</f>
        <v>1600</v>
      </c>
      <c r="I102" s="85">
        <v>0</v>
      </c>
    </row>
    <row r="103" spans="1:9" s="78" customFormat="1" ht="14.25" customHeight="1">
      <c r="A103" s="312" t="s">
        <v>628</v>
      </c>
      <c r="B103" s="311" t="s">
        <v>505</v>
      </c>
      <c r="C103" s="311" t="s">
        <v>535</v>
      </c>
      <c r="D103" s="313" t="s">
        <v>1074</v>
      </c>
      <c r="E103" s="314">
        <v>38122</v>
      </c>
      <c r="F103" s="144">
        <v>14440372</v>
      </c>
      <c r="G103" s="144">
        <v>12312367</v>
      </c>
      <c r="H103" s="144">
        <f t="shared" si="2"/>
        <v>2128005</v>
      </c>
      <c r="I103" s="85">
        <v>27400</v>
      </c>
    </row>
    <row r="104" spans="1:9" s="78" customFormat="1" ht="14.25" customHeight="1">
      <c r="A104" s="312" t="s">
        <v>860</v>
      </c>
      <c r="B104" s="311" t="s">
        <v>499</v>
      </c>
      <c r="C104" s="316" t="s">
        <v>532</v>
      </c>
      <c r="D104" s="313" t="s">
        <v>1114</v>
      </c>
      <c r="E104" s="314">
        <v>38122</v>
      </c>
      <c r="F104" s="144">
        <v>18925383</v>
      </c>
      <c r="G104" s="144">
        <v>18909383</v>
      </c>
      <c r="H104" s="144">
        <f t="shared" si="2"/>
        <v>16000</v>
      </c>
      <c r="I104" s="85">
        <v>0</v>
      </c>
    </row>
    <row r="105" spans="1:9" s="78" customFormat="1" ht="14.25" customHeight="1">
      <c r="A105" s="312" t="s">
        <v>1121</v>
      </c>
      <c r="B105" s="311" t="s">
        <v>508</v>
      </c>
      <c r="C105" s="316" t="s">
        <v>667</v>
      </c>
      <c r="D105" s="313" t="s">
        <v>440</v>
      </c>
      <c r="E105" s="320">
        <v>38138</v>
      </c>
      <c r="F105" s="144">
        <v>33297400</v>
      </c>
      <c r="G105" s="144">
        <v>33297400</v>
      </c>
      <c r="H105" s="144">
        <f>SUM(F105-G105)</f>
        <v>0</v>
      </c>
      <c r="I105" s="85">
        <v>0</v>
      </c>
    </row>
    <row r="106" spans="1:9" s="78" customFormat="1" ht="14.25" customHeight="1">
      <c r="A106" s="312" t="s">
        <v>631</v>
      </c>
      <c r="B106" s="311" t="s">
        <v>511</v>
      </c>
      <c r="C106" s="316" t="s">
        <v>634</v>
      </c>
      <c r="D106" s="313" t="s">
        <v>632</v>
      </c>
      <c r="E106" s="320">
        <v>38168</v>
      </c>
      <c r="F106" s="144">
        <v>34050042</v>
      </c>
      <c r="G106" s="144">
        <v>34048442</v>
      </c>
      <c r="H106" s="144">
        <f>SUM(F106-G106)</f>
        <v>1600</v>
      </c>
      <c r="I106" s="85">
        <v>0</v>
      </c>
    </row>
    <row r="107" spans="1:9" s="78" customFormat="1" ht="14.25" customHeight="1">
      <c r="A107" s="312" t="s">
        <v>687</v>
      </c>
      <c r="B107" s="311" t="s">
        <v>514</v>
      </c>
      <c r="C107" s="316" t="s">
        <v>683</v>
      </c>
      <c r="D107" s="313" t="s">
        <v>684</v>
      </c>
      <c r="E107" s="320">
        <v>38199</v>
      </c>
      <c r="F107" s="144">
        <v>33250010</v>
      </c>
      <c r="G107" s="144">
        <v>33246010</v>
      </c>
      <c r="H107" s="144">
        <f>SUM(F107-G107)</f>
        <v>4000</v>
      </c>
      <c r="I107" s="85">
        <v>0</v>
      </c>
    </row>
    <row r="108" spans="1:9" s="78" customFormat="1" ht="14.25" customHeight="1">
      <c r="A108" s="312" t="s">
        <v>1122</v>
      </c>
      <c r="B108" s="311" t="s">
        <v>516</v>
      </c>
      <c r="C108" s="311" t="s">
        <v>535</v>
      </c>
      <c r="D108" s="313" t="s">
        <v>1075</v>
      </c>
      <c r="E108" s="314">
        <v>38214</v>
      </c>
      <c r="F108" s="144">
        <v>13346467</v>
      </c>
      <c r="G108" s="144">
        <v>10844201</v>
      </c>
      <c r="H108" s="144">
        <f t="shared" si="2"/>
        <v>2502266</v>
      </c>
      <c r="I108" s="85">
        <v>12700</v>
      </c>
    </row>
    <row r="109" spans="1:9" s="78" customFormat="1" ht="14.25" customHeight="1">
      <c r="A109" s="312" t="s">
        <v>861</v>
      </c>
      <c r="B109" s="311" t="s">
        <v>513</v>
      </c>
      <c r="C109" s="311">
        <v>6</v>
      </c>
      <c r="D109" s="313" t="s">
        <v>890</v>
      </c>
      <c r="E109" s="314">
        <v>38214</v>
      </c>
      <c r="F109" s="144">
        <v>18089806</v>
      </c>
      <c r="G109" s="144">
        <v>18089806</v>
      </c>
      <c r="H109" s="144">
        <f t="shared" si="2"/>
        <v>0</v>
      </c>
      <c r="I109" s="85">
        <v>0</v>
      </c>
    </row>
    <row r="110" spans="1:9" s="78" customFormat="1" ht="14.25" customHeight="1">
      <c r="A110" s="312" t="s">
        <v>231</v>
      </c>
      <c r="B110" s="311" t="s">
        <v>518</v>
      </c>
      <c r="C110" s="316" t="s">
        <v>232</v>
      </c>
      <c r="D110" s="313" t="s">
        <v>233</v>
      </c>
      <c r="E110" s="320">
        <v>38230</v>
      </c>
      <c r="F110" s="144">
        <v>34541397</v>
      </c>
      <c r="G110" s="144">
        <v>34541397</v>
      </c>
      <c r="H110" s="144">
        <f>SUM(F110-G110)</f>
        <v>0</v>
      </c>
      <c r="I110" s="85">
        <v>0</v>
      </c>
    </row>
    <row r="111" spans="1:9" s="78" customFormat="1" ht="14.25" customHeight="1">
      <c r="A111" s="312" t="s">
        <v>234</v>
      </c>
      <c r="B111" s="311" t="s">
        <v>519</v>
      </c>
      <c r="C111" s="316" t="s">
        <v>235</v>
      </c>
      <c r="D111" s="313" t="s">
        <v>236</v>
      </c>
      <c r="E111" s="320">
        <v>38260</v>
      </c>
      <c r="F111" s="144">
        <v>34655535</v>
      </c>
      <c r="G111" s="144">
        <v>34649135</v>
      </c>
      <c r="H111" s="144">
        <f>SUM(F111-G111)</f>
        <v>6400</v>
      </c>
      <c r="I111" s="85">
        <v>0</v>
      </c>
    </row>
    <row r="112" spans="1:9" s="78" customFormat="1" ht="14.25" customHeight="1">
      <c r="A112" s="312" t="s">
        <v>129</v>
      </c>
      <c r="B112" s="311" t="s">
        <v>522</v>
      </c>
      <c r="C112" s="316" t="s">
        <v>232</v>
      </c>
      <c r="D112" s="313" t="s">
        <v>130</v>
      </c>
      <c r="E112" s="320">
        <v>38291</v>
      </c>
      <c r="F112" s="144">
        <v>32439549</v>
      </c>
      <c r="G112" s="144">
        <v>32437949</v>
      </c>
      <c r="H112" s="144">
        <f>SUM(F112-G112)</f>
        <v>1600</v>
      </c>
      <c r="I112" s="85">
        <v>0</v>
      </c>
    </row>
    <row r="113" spans="1:9" s="78" customFormat="1" ht="14.25" customHeight="1">
      <c r="A113" s="312" t="s">
        <v>230</v>
      </c>
      <c r="B113" s="311" t="s">
        <v>525</v>
      </c>
      <c r="C113" s="311" t="s">
        <v>526</v>
      </c>
      <c r="D113" s="313" t="s">
        <v>1076</v>
      </c>
      <c r="E113" s="314">
        <v>38306</v>
      </c>
      <c r="F113" s="144">
        <v>14373760</v>
      </c>
      <c r="G113" s="144">
        <v>14347770</v>
      </c>
      <c r="H113" s="144">
        <f t="shared" si="2"/>
        <v>25990</v>
      </c>
      <c r="I113" s="85">
        <v>1600</v>
      </c>
    </row>
    <row r="114" spans="1:9" s="78" customFormat="1" ht="14.25" customHeight="1">
      <c r="A114" s="312" t="s">
        <v>862</v>
      </c>
      <c r="B114" s="311" t="s">
        <v>521</v>
      </c>
      <c r="C114" s="311" t="s">
        <v>943</v>
      </c>
      <c r="D114" s="313" t="s">
        <v>574</v>
      </c>
      <c r="E114" s="314">
        <v>38306</v>
      </c>
      <c r="F114" s="144">
        <v>32658145</v>
      </c>
      <c r="G114" s="144">
        <v>32656545</v>
      </c>
      <c r="H114" s="144">
        <f t="shared" si="2"/>
        <v>1600</v>
      </c>
      <c r="I114" s="85">
        <v>0</v>
      </c>
    </row>
    <row r="115" spans="1:9" s="78" customFormat="1" ht="14.25" customHeight="1">
      <c r="A115" s="312" t="s">
        <v>556</v>
      </c>
      <c r="B115" s="311" t="s">
        <v>527</v>
      </c>
      <c r="C115" s="311">
        <v>2</v>
      </c>
      <c r="D115" s="313" t="s">
        <v>560</v>
      </c>
      <c r="E115" s="314">
        <v>38321</v>
      </c>
      <c r="F115" s="144">
        <v>32871320</v>
      </c>
      <c r="G115" s="144">
        <v>32871320</v>
      </c>
      <c r="H115" s="144">
        <f>SUM(F115-G115)</f>
        <v>0</v>
      </c>
      <c r="I115" s="85">
        <v>0</v>
      </c>
    </row>
    <row r="116" spans="1:9" s="78" customFormat="1" ht="14.25" customHeight="1">
      <c r="A116" s="312" t="s">
        <v>557</v>
      </c>
      <c r="B116" s="311" t="s">
        <v>935</v>
      </c>
      <c r="C116" s="316" t="s">
        <v>559</v>
      </c>
      <c r="D116" s="313" t="s">
        <v>561</v>
      </c>
      <c r="E116" s="314">
        <v>38352</v>
      </c>
      <c r="F116" s="144">
        <v>33203363</v>
      </c>
      <c r="G116" s="144">
        <v>33203363</v>
      </c>
      <c r="H116" s="144">
        <f>SUM(F116-G116)</f>
        <v>0</v>
      </c>
      <c r="I116" s="85">
        <v>0</v>
      </c>
    </row>
    <row r="117" spans="1:9" s="78" customFormat="1" ht="14.25" customHeight="1">
      <c r="A117" s="312" t="s">
        <v>577</v>
      </c>
      <c r="B117" s="311" t="s">
        <v>513</v>
      </c>
      <c r="C117" s="316" t="s">
        <v>576</v>
      </c>
      <c r="D117" s="313" t="s">
        <v>578</v>
      </c>
      <c r="E117" s="314">
        <v>38383</v>
      </c>
      <c r="F117" s="144">
        <v>33837124</v>
      </c>
      <c r="G117" s="144">
        <v>33837124</v>
      </c>
      <c r="H117" s="144">
        <f>SUM(F117-G117)</f>
        <v>0</v>
      </c>
      <c r="I117" s="85">
        <v>0</v>
      </c>
    </row>
    <row r="118" spans="1:9" s="78" customFormat="1" ht="14.25" customHeight="1">
      <c r="A118" s="312" t="s">
        <v>558</v>
      </c>
      <c r="B118" s="311" t="s">
        <v>944</v>
      </c>
      <c r="C118" s="311" t="s">
        <v>523</v>
      </c>
      <c r="D118" s="313" t="s">
        <v>1077</v>
      </c>
      <c r="E118" s="314">
        <v>38398</v>
      </c>
      <c r="F118" s="144">
        <v>13834754</v>
      </c>
      <c r="G118" s="144">
        <v>13059462</v>
      </c>
      <c r="H118" s="144">
        <f t="shared" si="2"/>
        <v>775292</v>
      </c>
      <c r="I118" s="85">
        <v>41200</v>
      </c>
    </row>
    <row r="119" spans="1:9" s="78" customFormat="1" ht="14.25" customHeight="1">
      <c r="A119" s="312" t="s">
        <v>961</v>
      </c>
      <c r="B119" s="311" t="s">
        <v>521</v>
      </c>
      <c r="C119" s="316" t="s">
        <v>962</v>
      </c>
      <c r="D119" s="313" t="s">
        <v>963</v>
      </c>
      <c r="E119" s="314">
        <v>38411</v>
      </c>
      <c r="F119" s="144">
        <v>35331909</v>
      </c>
      <c r="G119" s="144">
        <v>35331909</v>
      </c>
      <c r="H119" s="144">
        <f t="shared" si="2"/>
        <v>0</v>
      </c>
      <c r="I119" s="85">
        <v>0</v>
      </c>
    </row>
    <row r="120" spans="1:9" s="78" customFormat="1" ht="14.25" customHeight="1">
      <c r="A120" s="312" t="s">
        <v>804</v>
      </c>
      <c r="B120" s="311" t="s">
        <v>941</v>
      </c>
      <c r="C120" s="316" t="s">
        <v>576</v>
      </c>
      <c r="D120" s="313" t="s">
        <v>805</v>
      </c>
      <c r="E120" s="314">
        <v>38442</v>
      </c>
      <c r="F120" s="144">
        <v>35211162</v>
      </c>
      <c r="G120" s="144">
        <v>35207962</v>
      </c>
      <c r="H120" s="144">
        <f t="shared" si="2"/>
        <v>3200</v>
      </c>
      <c r="I120" s="85">
        <v>0</v>
      </c>
    </row>
    <row r="121" spans="1:9" s="78" customFormat="1" ht="14.25" customHeight="1">
      <c r="A121" s="312" t="s">
        <v>566</v>
      </c>
      <c r="B121" s="311" t="s">
        <v>493</v>
      </c>
      <c r="C121" s="316" t="s">
        <v>576</v>
      </c>
      <c r="D121" s="313" t="s">
        <v>567</v>
      </c>
      <c r="E121" s="314">
        <v>38472</v>
      </c>
      <c r="F121" s="144">
        <v>34295459</v>
      </c>
      <c r="G121" s="144">
        <v>34295459</v>
      </c>
      <c r="H121" s="144">
        <f t="shared" si="2"/>
        <v>0</v>
      </c>
      <c r="I121" s="85">
        <v>0</v>
      </c>
    </row>
    <row r="122" spans="1:9" s="78" customFormat="1" ht="14.25" customHeight="1">
      <c r="A122" s="312" t="s">
        <v>1117</v>
      </c>
      <c r="B122" s="311" t="s">
        <v>505</v>
      </c>
      <c r="C122" s="311" t="s">
        <v>503</v>
      </c>
      <c r="D122" s="313" t="s">
        <v>1078</v>
      </c>
      <c r="E122" s="314">
        <v>38487</v>
      </c>
      <c r="F122" s="144">
        <v>14739504</v>
      </c>
      <c r="G122" s="144">
        <v>14739104</v>
      </c>
      <c r="H122" s="144">
        <f t="shared" si="2"/>
        <v>400</v>
      </c>
      <c r="I122" s="85">
        <v>0</v>
      </c>
    </row>
    <row r="123" spans="1:9" s="78" customFormat="1" ht="14.25" customHeight="1">
      <c r="A123" s="312" t="s">
        <v>863</v>
      </c>
      <c r="B123" s="311" t="s">
        <v>938</v>
      </c>
      <c r="C123" s="316" t="s">
        <v>509</v>
      </c>
      <c r="D123" s="313" t="s">
        <v>1022</v>
      </c>
      <c r="E123" s="314">
        <v>38487</v>
      </c>
      <c r="F123" s="144">
        <v>28562370</v>
      </c>
      <c r="G123" s="144">
        <v>28294370</v>
      </c>
      <c r="H123" s="144">
        <f t="shared" si="2"/>
        <v>268000</v>
      </c>
      <c r="I123" s="85">
        <v>9940</v>
      </c>
    </row>
    <row r="124" spans="1:9" s="78" customFormat="1" ht="14.25" customHeight="1">
      <c r="A124" s="312" t="s">
        <v>974</v>
      </c>
      <c r="B124" s="311" t="s">
        <v>496</v>
      </c>
      <c r="C124" s="316" t="s">
        <v>420</v>
      </c>
      <c r="D124" s="313" t="s">
        <v>1190</v>
      </c>
      <c r="E124" s="320">
        <v>38503</v>
      </c>
      <c r="F124" s="144">
        <v>31020836</v>
      </c>
      <c r="G124" s="144">
        <v>31020836</v>
      </c>
      <c r="H124" s="144">
        <f>SUM(F124-G124)</f>
        <v>0</v>
      </c>
      <c r="I124" s="85">
        <v>0</v>
      </c>
    </row>
    <row r="125" spans="1:9" s="78" customFormat="1" ht="14.25" customHeight="1">
      <c r="A125" s="312" t="s">
        <v>973</v>
      </c>
      <c r="B125" s="311" t="s">
        <v>502</v>
      </c>
      <c r="C125" s="316" t="s">
        <v>1206</v>
      </c>
      <c r="D125" s="313" t="s">
        <v>975</v>
      </c>
      <c r="E125" s="320">
        <v>38533</v>
      </c>
      <c r="F125" s="144">
        <v>31701455</v>
      </c>
      <c r="G125" s="144">
        <v>31701455</v>
      </c>
      <c r="H125" s="144">
        <f>SUM(F125-G125)</f>
        <v>0</v>
      </c>
      <c r="I125" s="85">
        <v>0</v>
      </c>
    </row>
    <row r="126" spans="1:9" s="78" customFormat="1" ht="14.25" customHeight="1">
      <c r="A126" s="312" t="s">
        <v>175</v>
      </c>
      <c r="B126" s="311" t="s">
        <v>508</v>
      </c>
      <c r="C126" s="316" t="s">
        <v>962</v>
      </c>
      <c r="D126" s="313" t="s">
        <v>176</v>
      </c>
      <c r="E126" s="320">
        <v>38564</v>
      </c>
      <c r="F126" s="144">
        <v>29997026</v>
      </c>
      <c r="G126" s="144">
        <v>29997026</v>
      </c>
      <c r="H126" s="144">
        <f>SUM(F126-G126)</f>
        <v>0</v>
      </c>
      <c r="I126" s="85">
        <v>0</v>
      </c>
    </row>
    <row r="127" spans="1:9" s="78" customFormat="1" ht="14.25" customHeight="1">
      <c r="A127" s="312" t="s">
        <v>421</v>
      </c>
      <c r="B127" s="311" t="s">
        <v>516</v>
      </c>
      <c r="C127" s="311" t="s">
        <v>503</v>
      </c>
      <c r="D127" s="313" t="s">
        <v>1079</v>
      </c>
      <c r="E127" s="314">
        <v>38579</v>
      </c>
      <c r="F127" s="144">
        <v>15002580</v>
      </c>
      <c r="G127" s="144">
        <v>15002180</v>
      </c>
      <c r="H127" s="144">
        <f t="shared" si="2"/>
        <v>400</v>
      </c>
      <c r="I127" s="85">
        <v>0</v>
      </c>
    </row>
    <row r="128" spans="1:9" s="78" customFormat="1" ht="14.25" customHeight="1">
      <c r="A128" s="312" t="s">
        <v>906</v>
      </c>
      <c r="B128" s="311" t="s">
        <v>511</v>
      </c>
      <c r="C128" s="334" t="s">
        <v>852</v>
      </c>
      <c r="D128" s="313" t="s">
        <v>915</v>
      </c>
      <c r="E128" s="320">
        <v>38595</v>
      </c>
      <c r="F128" s="144">
        <v>30592178</v>
      </c>
      <c r="G128" s="144">
        <v>30592178</v>
      </c>
      <c r="H128" s="144">
        <f>SUM(F128-G128)</f>
        <v>0</v>
      </c>
      <c r="I128" s="85">
        <v>0</v>
      </c>
    </row>
    <row r="129" spans="1:9" s="78" customFormat="1" ht="14.25" customHeight="1">
      <c r="A129" s="312" t="s">
        <v>563</v>
      </c>
      <c r="B129" s="311" t="s">
        <v>514</v>
      </c>
      <c r="C129" s="334" t="s">
        <v>576</v>
      </c>
      <c r="D129" s="313" t="s">
        <v>564</v>
      </c>
      <c r="E129" s="320">
        <v>38625</v>
      </c>
      <c r="F129" s="144">
        <v>31538969</v>
      </c>
      <c r="G129" s="144">
        <v>31538969</v>
      </c>
      <c r="H129" s="144">
        <f>SUM(F129-G129)</f>
        <v>0</v>
      </c>
      <c r="I129" s="85">
        <v>0</v>
      </c>
    </row>
    <row r="130" spans="1:9" s="78" customFormat="1" ht="14.25" customHeight="1">
      <c r="A130" s="312" t="s">
        <v>622</v>
      </c>
      <c r="B130" s="311" t="s">
        <v>518</v>
      </c>
      <c r="C130" s="334" t="s">
        <v>576</v>
      </c>
      <c r="D130" s="313" t="s">
        <v>623</v>
      </c>
      <c r="E130" s="320">
        <v>38656</v>
      </c>
      <c r="F130" s="144">
        <v>32368420</v>
      </c>
      <c r="G130" s="144">
        <v>32368420</v>
      </c>
      <c r="H130" s="144">
        <f>SUM(F130-G130)</f>
        <v>0</v>
      </c>
      <c r="I130" s="85">
        <v>0</v>
      </c>
    </row>
    <row r="131" spans="1:9" s="78" customFormat="1" ht="14.25" customHeight="1">
      <c r="A131" s="312" t="s">
        <v>905</v>
      </c>
      <c r="B131" s="311" t="s">
        <v>525</v>
      </c>
      <c r="C131" s="311" t="s">
        <v>943</v>
      </c>
      <c r="D131" s="313" t="s">
        <v>1080</v>
      </c>
      <c r="E131" s="314">
        <v>38671</v>
      </c>
      <c r="F131" s="144">
        <v>15209920</v>
      </c>
      <c r="G131" s="144">
        <v>14223181</v>
      </c>
      <c r="H131" s="144">
        <f t="shared" si="2"/>
        <v>986739</v>
      </c>
      <c r="I131" s="85">
        <v>23600</v>
      </c>
    </row>
    <row r="132" spans="1:9" s="78" customFormat="1" ht="14.25" customHeight="1">
      <c r="A132" s="312" t="s">
        <v>864</v>
      </c>
      <c r="B132" s="311" t="s">
        <v>499</v>
      </c>
      <c r="C132" s="316" t="s">
        <v>937</v>
      </c>
      <c r="D132" s="313" t="s">
        <v>663</v>
      </c>
      <c r="E132" s="314">
        <v>38671</v>
      </c>
      <c r="F132" s="144">
        <v>28062797</v>
      </c>
      <c r="G132" s="144">
        <v>27273897</v>
      </c>
      <c r="H132" s="144">
        <f t="shared" si="2"/>
        <v>788900</v>
      </c>
      <c r="I132" s="85">
        <v>0</v>
      </c>
    </row>
    <row r="133" spans="1:9" s="78" customFormat="1" ht="14.25" customHeight="1">
      <c r="A133" s="283" t="s">
        <v>723</v>
      </c>
      <c r="B133" s="311" t="s">
        <v>519</v>
      </c>
      <c r="C133" s="316" t="s">
        <v>235</v>
      </c>
      <c r="D133" s="313" t="s">
        <v>724</v>
      </c>
      <c r="E133" s="314">
        <v>38686</v>
      </c>
      <c r="F133" s="144">
        <v>32203806</v>
      </c>
      <c r="G133" s="144">
        <v>32203806</v>
      </c>
      <c r="H133" s="144">
        <f t="shared" si="2"/>
        <v>0</v>
      </c>
      <c r="I133" s="85">
        <v>0</v>
      </c>
    </row>
    <row r="134" spans="1:9" s="78" customFormat="1" ht="14.25" customHeight="1">
      <c r="A134" s="312" t="s">
        <v>725</v>
      </c>
      <c r="B134" s="311" t="s">
        <v>522</v>
      </c>
      <c r="C134" s="316" t="s">
        <v>235</v>
      </c>
      <c r="D134" s="313" t="s">
        <v>726</v>
      </c>
      <c r="E134" s="314">
        <v>38717</v>
      </c>
      <c r="F134" s="144">
        <v>33996270</v>
      </c>
      <c r="G134" s="144">
        <v>33996270</v>
      </c>
      <c r="H134" s="144">
        <f t="shared" si="2"/>
        <v>0</v>
      </c>
      <c r="I134" s="85">
        <v>0</v>
      </c>
    </row>
    <row r="135" spans="1:9" s="78" customFormat="1" ht="14.25" customHeight="1">
      <c r="A135" s="283" t="s">
        <v>722</v>
      </c>
      <c r="B135" s="311" t="s">
        <v>944</v>
      </c>
      <c r="C135" s="311" t="s">
        <v>524</v>
      </c>
      <c r="D135" s="313" t="s">
        <v>1081</v>
      </c>
      <c r="E135" s="314">
        <v>38763</v>
      </c>
      <c r="F135" s="144">
        <v>15513587</v>
      </c>
      <c r="G135" s="144">
        <v>15506507</v>
      </c>
      <c r="H135" s="144">
        <f t="shared" si="2"/>
        <v>7080</v>
      </c>
      <c r="I135" s="85">
        <v>0</v>
      </c>
    </row>
    <row r="136" spans="1:9" s="78" customFormat="1" ht="14.25" customHeight="1">
      <c r="A136" s="312" t="s">
        <v>865</v>
      </c>
      <c r="B136" s="311" t="s">
        <v>505</v>
      </c>
      <c r="C136" s="311" t="s">
        <v>515</v>
      </c>
      <c r="D136" s="313" t="s">
        <v>1082</v>
      </c>
      <c r="E136" s="320">
        <v>38852</v>
      </c>
      <c r="F136" s="144">
        <v>16015475</v>
      </c>
      <c r="G136" s="144">
        <v>15008500</v>
      </c>
      <c r="H136" s="144">
        <f t="shared" si="2"/>
        <v>1006975</v>
      </c>
      <c r="I136" s="85">
        <v>17520</v>
      </c>
    </row>
    <row r="137" spans="1:9" s="78" customFormat="1" ht="14.25" customHeight="1">
      <c r="A137" s="312" t="s">
        <v>980</v>
      </c>
      <c r="B137" s="311" t="s">
        <v>938</v>
      </c>
      <c r="C137" s="334" t="s">
        <v>1212</v>
      </c>
      <c r="D137" s="313" t="s">
        <v>812</v>
      </c>
      <c r="E137" s="320">
        <v>38852</v>
      </c>
      <c r="F137" s="144">
        <v>27797852</v>
      </c>
      <c r="G137" s="144">
        <v>27797852</v>
      </c>
      <c r="H137" s="144">
        <f t="shared" si="2"/>
        <v>0</v>
      </c>
      <c r="I137" s="85">
        <v>0</v>
      </c>
    </row>
    <row r="138" spans="1:9" s="78" customFormat="1" ht="14.25" customHeight="1">
      <c r="A138" s="312" t="s">
        <v>636</v>
      </c>
      <c r="B138" s="311" t="s">
        <v>513</v>
      </c>
      <c r="C138" s="334" t="s">
        <v>852</v>
      </c>
      <c r="D138" s="313" t="s">
        <v>853</v>
      </c>
      <c r="E138" s="320">
        <v>38852</v>
      </c>
      <c r="F138" s="144">
        <v>22391759</v>
      </c>
      <c r="G138" s="144">
        <v>22391759</v>
      </c>
      <c r="H138" s="144">
        <f>SUM(F138-G138)</f>
        <v>0</v>
      </c>
      <c r="I138" s="85">
        <v>0</v>
      </c>
    </row>
    <row r="139" spans="1:9" s="78" customFormat="1" ht="14.25" customHeight="1">
      <c r="A139" s="312" t="s">
        <v>637</v>
      </c>
      <c r="B139" s="311" t="s">
        <v>516</v>
      </c>
      <c r="C139" s="311" t="s">
        <v>500</v>
      </c>
      <c r="D139" s="313" t="s">
        <v>1083</v>
      </c>
      <c r="E139" s="320">
        <v>38913</v>
      </c>
      <c r="F139" s="144">
        <v>22740446</v>
      </c>
      <c r="G139" s="144">
        <v>22537646</v>
      </c>
      <c r="H139" s="144">
        <f>SUM(F139-G139)</f>
        <v>202800</v>
      </c>
      <c r="I139" s="85">
        <v>0</v>
      </c>
    </row>
    <row r="140" spans="1:9" s="78" customFormat="1" ht="14.25" customHeight="1">
      <c r="A140" s="312" t="s">
        <v>1004</v>
      </c>
      <c r="B140" s="311" t="s">
        <v>521</v>
      </c>
      <c r="C140" s="334" t="s">
        <v>1005</v>
      </c>
      <c r="D140" s="313" t="s">
        <v>1008</v>
      </c>
      <c r="E140" s="320">
        <v>38944</v>
      </c>
      <c r="F140" s="144">
        <v>27909346</v>
      </c>
      <c r="G140" s="144">
        <v>27840546</v>
      </c>
      <c r="H140" s="144">
        <f>SUM(F140-G140)</f>
        <v>68800</v>
      </c>
      <c r="I140" s="85">
        <v>0</v>
      </c>
    </row>
    <row r="141" spans="1:9" s="78" customFormat="1" ht="14.25" customHeight="1">
      <c r="A141" s="312" t="s">
        <v>992</v>
      </c>
      <c r="B141" s="311" t="s">
        <v>525</v>
      </c>
      <c r="C141" s="311" t="s">
        <v>503</v>
      </c>
      <c r="D141" s="313" t="s">
        <v>1084</v>
      </c>
      <c r="E141" s="320">
        <v>39005</v>
      </c>
      <c r="F141" s="144">
        <v>22459675</v>
      </c>
      <c r="G141" s="144">
        <v>22395675</v>
      </c>
      <c r="H141" s="144">
        <f t="shared" si="2"/>
        <v>64000</v>
      </c>
      <c r="I141" s="85">
        <v>0</v>
      </c>
    </row>
    <row r="142" spans="1:9" s="78" customFormat="1" ht="14.25" customHeight="1">
      <c r="A142" s="312" t="s">
        <v>357</v>
      </c>
      <c r="B142" s="311" t="s">
        <v>499</v>
      </c>
      <c r="C142" s="316" t="s">
        <v>1177</v>
      </c>
      <c r="D142" s="313" t="s">
        <v>358</v>
      </c>
      <c r="E142" s="320">
        <v>39036</v>
      </c>
      <c r="F142" s="144">
        <v>35380129</v>
      </c>
      <c r="G142" s="144">
        <v>34878166</v>
      </c>
      <c r="H142" s="144">
        <f>SUM(F142-G142)</f>
        <v>501963</v>
      </c>
      <c r="I142" s="85">
        <v>66400</v>
      </c>
    </row>
    <row r="143" spans="1:9" s="78" customFormat="1" ht="14.25" customHeight="1">
      <c r="A143" s="312" t="s">
        <v>283</v>
      </c>
      <c r="B143" s="311" t="s">
        <v>941</v>
      </c>
      <c r="C143" s="334" t="s">
        <v>639</v>
      </c>
      <c r="D143" s="313" t="s">
        <v>282</v>
      </c>
      <c r="E143" s="320">
        <v>39036</v>
      </c>
      <c r="F143" s="144">
        <v>26535905</v>
      </c>
      <c r="G143" s="144">
        <v>26535905</v>
      </c>
      <c r="H143" s="144">
        <f>SUM(F143-G143)</f>
        <v>0</v>
      </c>
      <c r="I143" s="85">
        <v>0</v>
      </c>
    </row>
    <row r="144" spans="1:9" s="78" customFormat="1" ht="14.25" customHeight="1">
      <c r="A144" s="312" t="s">
        <v>284</v>
      </c>
      <c r="B144" s="311" t="s">
        <v>505</v>
      </c>
      <c r="C144" s="311" t="s">
        <v>498</v>
      </c>
      <c r="D144" s="313" t="s">
        <v>1085</v>
      </c>
      <c r="E144" s="320">
        <v>39128</v>
      </c>
      <c r="F144" s="144">
        <v>13103678</v>
      </c>
      <c r="G144" s="144">
        <v>12790380</v>
      </c>
      <c r="H144" s="144">
        <f>SUM(F144-G144)</f>
        <v>313298</v>
      </c>
      <c r="I144" s="85">
        <v>35916</v>
      </c>
    </row>
    <row r="145" spans="1:9" s="78" customFormat="1" ht="14.25" customHeight="1">
      <c r="A145" s="312" t="s">
        <v>866</v>
      </c>
      <c r="B145" s="311" t="s">
        <v>516</v>
      </c>
      <c r="C145" s="316" t="s">
        <v>533</v>
      </c>
      <c r="D145" s="313" t="s">
        <v>1086</v>
      </c>
      <c r="E145" s="320">
        <v>39217</v>
      </c>
      <c r="F145" s="144">
        <v>13958186</v>
      </c>
      <c r="G145" s="144">
        <v>12844661</v>
      </c>
      <c r="H145" s="144">
        <f t="shared" si="2"/>
        <v>1113525</v>
      </c>
      <c r="I145" s="85">
        <v>51400</v>
      </c>
    </row>
    <row r="146" spans="1:9" s="78" customFormat="1" ht="14.25" customHeight="1">
      <c r="A146" s="312" t="s">
        <v>625</v>
      </c>
      <c r="B146" s="311" t="s">
        <v>938</v>
      </c>
      <c r="C146" s="316" t="s">
        <v>629</v>
      </c>
      <c r="D146" s="313" t="s">
        <v>630</v>
      </c>
      <c r="E146" s="320">
        <v>39217</v>
      </c>
      <c r="F146" s="144">
        <v>24351431</v>
      </c>
      <c r="G146" s="144">
        <v>24351431</v>
      </c>
      <c r="H146" s="144">
        <f>SUM(F146-G146)</f>
        <v>0</v>
      </c>
      <c r="I146" s="85">
        <v>0</v>
      </c>
    </row>
    <row r="147" spans="1:9" s="78" customFormat="1" ht="12.75" customHeight="1">
      <c r="A147" s="283" t="s">
        <v>626</v>
      </c>
      <c r="B147" s="311" t="s">
        <v>525</v>
      </c>
      <c r="C147" s="316" t="s">
        <v>530</v>
      </c>
      <c r="D147" s="313" t="s">
        <v>1087</v>
      </c>
      <c r="E147" s="320">
        <v>39309</v>
      </c>
      <c r="F147" s="144">
        <v>25636803</v>
      </c>
      <c r="G147" s="144">
        <v>24220852</v>
      </c>
      <c r="H147" s="144">
        <f t="shared" si="2"/>
        <v>1415951</v>
      </c>
      <c r="I147" s="85">
        <v>102580</v>
      </c>
    </row>
    <row r="148" spans="1:9" s="78" customFormat="1" ht="12.75" customHeight="1">
      <c r="A148" s="312" t="s">
        <v>183</v>
      </c>
      <c r="B148" s="311" t="s">
        <v>499</v>
      </c>
      <c r="C148" s="316" t="s">
        <v>667</v>
      </c>
      <c r="D148" s="313" t="s">
        <v>690</v>
      </c>
      <c r="E148" s="320">
        <v>39309</v>
      </c>
      <c r="F148" s="144">
        <v>25410844</v>
      </c>
      <c r="G148" s="144">
        <v>25410844</v>
      </c>
      <c r="H148" s="144">
        <f>SUM(F148-G148)</f>
        <v>0</v>
      </c>
      <c r="I148" s="85">
        <v>0</v>
      </c>
    </row>
    <row r="149" spans="1:9" s="78" customFormat="1" ht="12.75" customHeight="1">
      <c r="A149" s="312" t="s">
        <v>953</v>
      </c>
      <c r="B149" s="311" t="s">
        <v>513</v>
      </c>
      <c r="C149" s="316" t="s">
        <v>894</v>
      </c>
      <c r="D149" s="313" t="s">
        <v>954</v>
      </c>
      <c r="E149" s="320">
        <v>39401</v>
      </c>
      <c r="F149" s="144">
        <v>23311319</v>
      </c>
      <c r="G149" s="144">
        <v>22971339</v>
      </c>
      <c r="H149" s="144">
        <f>SUM(F149-G149)</f>
        <v>339980</v>
      </c>
      <c r="I149" s="85">
        <v>39620</v>
      </c>
    </row>
    <row r="150" spans="1:9" s="78" customFormat="1" ht="14.25" customHeight="1">
      <c r="A150" s="283" t="s">
        <v>691</v>
      </c>
      <c r="B150" s="311" t="s">
        <v>505</v>
      </c>
      <c r="C150" s="316" t="s">
        <v>494</v>
      </c>
      <c r="D150" s="313" t="s">
        <v>1088</v>
      </c>
      <c r="E150" s="320">
        <v>39493</v>
      </c>
      <c r="F150" s="144">
        <v>13583412</v>
      </c>
      <c r="G150" s="144">
        <v>13303755</v>
      </c>
      <c r="H150" s="144">
        <f>SUM(F150-G150)</f>
        <v>279657</v>
      </c>
      <c r="I150" s="85">
        <v>13464</v>
      </c>
    </row>
    <row r="151" spans="1:9" s="78" customFormat="1" ht="14.25" customHeight="1">
      <c r="A151" s="312" t="s">
        <v>957</v>
      </c>
      <c r="B151" s="311" t="s">
        <v>938</v>
      </c>
      <c r="C151" s="316">
        <v>3</v>
      </c>
      <c r="D151" s="313" t="s">
        <v>958</v>
      </c>
      <c r="E151" s="320">
        <v>39493</v>
      </c>
      <c r="F151" s="144">
        <v>27489260</v>
      </c>
      <c r="G151" s="144">
        <v>27480860</v>
      </c>
      <c r="H151" s="144">
        <f>SUM(F151-G151)</f>
        <v>8400</v>
      </c>
      <c r="I151" s="85">
        <v>0</v>
      </c>
    </row>
    <row r="152" spans="1:9" s="78" customFormat="1" ht="14.25" customHeight="1">
      <c r="A152" s="283" t="s">
        <v>694</v>
      </c>
      <c r="B152" s="311" t="s">
        <v>516</v>
      </c>
      <c r="C152" s="311" t="s">
        <v>524</v>
      </c>
      <c r="D152" s="317" t="s">
        <v>1089</v>
      </c>
      <c r="E152" s="320">
        <v>39583</v>
      </c>
      <c r="F152" s="144">
        <v>27190961</v>
      </c>
      <c r="G152" s="144">
        <v>26955094</v>
      </c>
      <c r="H152" s="144">
        <f t="shared" si="2"/>
        <v>235867</v>
      </c>
      <c r="I152" s="85">
        <v>0</v>
      </c>
    </row>
    <row r="153" spans="1:9" s="78" customFormat="1" ht="14.25" customHeight="1">
      <c r="A153" s="312" t="s">
        <v>638</v>
      </c>
      <c r="B153" s="311" t="s">
        <v>499</v>
      </c>
      <c r="C153" s="334" t="s">
        <v>639</v>
      </c>
      <c r="D153" s="313" t="s">
        <v>854</v>
      </c>
      <c r="E153" s="320">
        <v>39583</v>
      </c>
      <c r="F153" s="144">
        <v>33338446</v>
      </c>
      <c r="G153" s="144">
        <v>33338446</v>
      </c>
      <c r="H153" s="144">
        <f t="shared" si="2"/>
        <v>0</v>
      </c>
      <c r="I153" s="85">
        <v>0</v>
      </c>
    </row>
    <row r="154" spans="1:9" s="78" customFormat="1" ht="14.25" customHeight="1">
      <c r="A154" s="312" t="s">
        <v>1006</v>
      </c>
      <c r="B154" s="311" t="s">
        <v>513</v>
      </c>
      <c r="C154" s="334" t="s">
        <v>667</v>
      </c>
      <c r="D154" s="313" t="s">
        <v>1009</v>
      </c>
      <c r="E154" s="320">
        <v>39675</v>
      </c>
      <c r="F154" s="144">
        <v>21357474</v>
      </c>
      <c r="G154" s="144">
        <v>21283874</v>
      </c>
      <c r="H154" s="144">
        <f t="shared" si="2"/>
        <v>73600</v>
      </c>
      <c r="I154" s="85">
        <v>16800</v>
      </c>
    </row>
    <row r="155" spans="1:9" s="78" customFormat="1" ht="14.25" customHeight="1">
      <c r="A155" s="312" t="s">
        <v>910</v>
      </c>
      <c r="B155" s="311" t="s">
        <v>521</v>
      </c>
      <c r="C155" s="334" t="s">
        <v>911</v>
      </c>
      <c r="D155" s="313" t="s">
        <v>913</v>
      </c>
      <c r="E155" s="320">
        <v>39706</v>
      </c>
      <c r="F155" s="144">
        <v>16002177</v>
      </c>
      <c r="G155" s="144">
        <v>15990977</v>
      </c>
      <c r="H155" s="144">
        <f>SUM(F155-G155)</f>
        <v>11200</v>
      </c>
      <c r="I155" s="85">
        <v>0</v>
      </c>
    </row>
    <row r="156" spans="1:9" s="78" customFormat="1" ht="14.25" customHeight="1">
      <c r="A156" s="312" t="s">
        <v>165</v>
      </c>
      <c r="B156" s="311" t="s">
        <v>941</v>
      </c>
      <c r="C156" s="334" t="s">
        <v>911</v>
      </c>
      <c r="D156" s="313" t="s">
        <v>982</v>
      </c>
      <c r="E156" s="320">
        <v>39736</v>
      </c>
      <c r="F156" s="144">
        <v>15995702</v>
      </c>
      <c r="G156" s="144">
        <v>15995702</v>
      </c>
      <c r="H156" s="144">
        <f>SUM(F156-G156)</f>
        <v>0</v>
      </c>
      <c r="I156" s="85">
        <v>0</v>
      </c>
    </row>
    <row r="157" spans="1:9" s="78" customFormat="1" ht="14.25" customHeight="1">
      <c r="A157" s="283" t="s">
        <v>640</v>
      </c>
      <c r="B157" s="311" t="s">
        <v>525</v>
      </c>
      <c r="C157" s="316" t="s">
        <v>536</v>
      </c>
      <c r="D157" s="317" t="s">
        <v>1090</v>
      </c>
      <c r="E157" s="320">
        <v>39767</v>
      </c>
      <c r="F157" s="144">
        <v>25083125</v>
      </c>
      <c r="G157" s="144">
        <v>24741433</v>
      </c>
      <c r="H157" s="144">
        <f t="shared" si="2"/>
        <v>341692</v>
      </c>
      <c r="I157" s="85">
        <v>167100</v>
      </c>
    </row>
    <row r="158" spans="1:9" s="78" customFormat="1" ht="14.25" customHeight="1">
      <c r="A158" s="312" t="s">
        <v>285</v>
      </c>
      <c r="B158" s="311" t="s">
        <v>493</v>
      </c>
      <c r="C158" s="334" t="s">
        <v>1172</v>
      </c>
      <c r="D158" s="313" t="s">
        <v>286</v>
      </c>
      <c r="E158" s="320">
        <v>39767</v>
      </c>
      <c r="F158" s="144">
        <v>18181033</v>
      </c>
      <c r="G158" s="144">
        <v>18181033</v>
      </c>
      <c r="H158" s="144">
        <f>SUM(F158-G158)</f>
        <v>0</v>
      </c>
      <c r="I158" s="85">
        <v>0</v>
      </c>
    </row>
    <row r="159" spans="1:9" s="78" customFormat="1" ht="14.25" customHeight="1">
      <c r="A159" s="312" t="s">
        <v>727</v>
      </c>
      <c r="B159" s="311" t="s">
        <v>496</v>
      </c>
      <c r="C159" s="334" t="s">
        <v>1172</v>
      </c>
      <c r="D159" s="313" t="s">
        <v>729</v>
      </c>
      <c r="E159" s="320">
        <v>39797</v>
      </c>
      <c r="F159" s="144">
        <v>16000028</v>
      </c>
      <c r="G159" s="144">
        <v>16000028</v>
      </c>
      <c r="H159" s="144">
        <f>SUM(F159-G159)</f>
        <v>0</v>
      </c>
      <c r="I159" s="85">
        <v>0</v>
      </c>
    </row>
    <row r="160" spans="1:9" s="78" customFormat="1" ht="14.25" customHeight="1">
      <c r="A160" s="312" t="s">
        <v>842</v>
      </c>
      <c r="B160" s="311" t="s">
        <v>525</v>
      </c>
      <c r="C160" s="334" t="s">
        <v>667</v>
      </c>
      <c r="D160" s="313" t="s">
        <v>847</v>
      </c>
      <c r="E160" s="320">
        <v>39828</v>
      </c>
      <c r="F160" s="144">
        <v>16002561</v>
      </c>
      <c r="G160" s="144">
        <v>16002561</v>
      </c>
      <c r="H160" s="144">
        <f>SUM(F160-G160)</f>
        <v>0</v>
      </c>
      <c r="I160" s="85">
        <v>0</v>
      </c>
    </row>
    <row r="161" spans="1:9" s="78" customFormat="1" ht="14.25" customHeight="1">
      <c r="A161" s="283" t="s">
        <v>287</v>
      </c>
      <c r="B161" s="311" t="s">
        <v>505</v>
      </c>
      <c r="C161" s="316" t="s">
        <v>494</v>
      </c>
      <c r="D161" s="313" t="s">
        <v>1115</v>
      </c>
      <c r="E161" s="320">
        <v>39948</v>
      </c>
      <c r="F161" s="144">
        <v>14794790</v>
      </c>
      <c r="G161" s="144">
        <v>14741590</v>
      </c>
      <c r="H161" s="144">
        <f t="shared" si="2"/>
        <v>53200</v>
      </c>
      <c r="I161" s="85">
        <v>1200</v>
      </c>
    </row>
    <row r="162" spans="1:9" s="78" customFormat="1" ht="14.25" customHeight="1">
      <c r="A162" s="283" t="s">
        <v>867</v>
      </c>
      <c r="B162" s="311" t="s">
        <v>516</v>
      </c>
      <c r="C162" s="316">
        <v>6</v>
      </c>
      <c r="D162" s="313" t="s">
        <v>891</v>
      </c>
      <c r="E162" s="320">
        <v>40040</v>
      </c>
      <c r="F162" s="144">
        <v>27399894</v>
      </c>
      <c r="G162" s="144">
        <v>26819951</v>
      </c>
      <c r="H162" s="144">
        <f t="shared" si="2"/>
        <v>579943</v>
      </c>
      <c r="I162" s="85">
        <v>3000</v>
      </c>
    </row>
    <row r="163" spans="1:9" s="78" customFormat="1" ht="14.25" customHeight="1">
      <c r="A163" s="283" t="s">
        <v>868</v>
      </c>
      <c r="B163" s="311" t="s">
        <v>505</v>
      </c>
      <c r="C163" s="311" t="s">
        <v>503</v>
      </c>
      <c r="D163" s="313" t="s">
        <v>1020</v>
      </c>
      <c r="E163" s="320">
        <v>40224</v>
      </c>
      <c r="F163" s="144">
        <v>23355709</v>
      </c>
      <c r="G163" s="144">
        <v>23350389</v>
      </c>
      <c r="H163" s="144">
        <f t="shared" si="2"/>
        <v>5320</v>
      </c>
      <c r="I163" s="85">
        <v>0</v>
      </c>
    </row>
    <row r="164" spans="1:9" s="78" customFormat="1" ht="14.25" customHeight="1">
      <c r="A164" s="283" t="s">
        <v>869</v>
      </c>
      <c r="B164" s="311" t="s">
        <v>516</v>
      </c>
      <c r="C164" s="316" t="s">
        <v>937</v>
      </c>
      <c r="D164" s="313" t="s">
        <v>226</v>
      </c>
      <c r="E164" s="320">
        <v>40405</v>
      </c>
      <c r="F164" s="144">
        <v>22437594</v>
      </c>
      <c r="G164" s="144">
        <v>22436074</v>
      </c>
      <c r="H164" s="144">
        <f t="shared" si="2"/>
        <v>1520</v>
      </c>
      <c r="I164" s="85">
        <v>0</v>
      </c>
    </row>
    <row r="165" spans="1:9" s="78" customFormat="1" ht="14.25" customHeight="1">
      <c r="A165" s="283" t="s">
        <v>892</v>
      </c>
      <c r="B165" s="311" t="s">
        <v>505</v>
      </c>
      <c r="C165" s="316">
        <v>5</v>
      </c>
      <c r="D165" s="313" t="s">
        <v>437</v>
      </c>
      <c r="E165" s="320">
        <v>40589</v>
      </c>
      <c r="F165" s="144">
        <v>23436329</v>
      </c>
      <c r="G165" s="144">
        <v>23406709</v>
      </c>
      <c r="H165" s="144">
        <f t="shared" si="2"/>
        <v>29620</v>
      </c>
      <c r="I165" s="85">
        <v>0</v>
      </c>
    </row>
    <row r="166" spans="1:9" s="78" customFormat="1" ht="14.25" customHeight="1">
      <c r="A166" s="312" t="s">
        <v>966</v>
      </c>
      <c r="B166" s="311" t="s">
        <v>516</v>
      </c>
      <c r="C166" s="316">
        <v>5</v>
      </c>
      <c r="D166" s="313" t="s">
        <v>967</v>
      </c>
      <c r="E166" s="320">
        <v>40770</v>
      </c>
      <c r="F166" s="144">
        <v>26635316</v>
      </c>
      <c r="G166" s="144">
        <v>26411356</v>
      </c>
      <c r="H166" s="144">
        <f t="shared" si="2"/>
        <v>223960</v>
      </c>
      <c r="I166" s="85">
        <v>0</v>
      </c>
    </row>
    <row r="167" spans="1:9" s="78" customFormat="1" ht="14.25" customHeight="1">
      <c r="A167" s="312" t="s">
        <v>1208</v>
      </c>
      <c r="B167" s="311" t="s">
        <v>505</v>
      </c>
      <c r="C167" s="316" t="s">
        <v>1209</v>
      </c>
      <c r="D167" s="313" t="s">
        <v>1210</v>
      </c>
      <c r="E167" s="320">
        <v>40954</v>
      </c>
      <c r="F167" s="144">
        <v>24779838</v>
      </c>
      <c r="G167" s="144">
        <v>24768438</v>
      </c>
      <c r="H167" s="144">
        <f t="shared" si="2"/>
        <v>11400</v>
      </c>
      <c r="I167" s="85">
        <v>0</v>
      </c>
    </row>
    <row r="168" spans="1:9" s="78" customFormat="1" ht="14.25" customHeight="1">
      <c r="A168" s="312" t="s">
        <v>692</v>
      </c>
      <c r="B168" s="311" t="s">
        <v>525</v>
      </c>
      <c r="C168" s="316" t="s">
        <v>629</v>
      </c>
      <c r="D168" s="313" t="s">
        <v>693</v>
      </c>
      <c r="E168" s="320">
        <v>41136</v>
      </c>
      <c r="F168" s="144">
        <v>19647976</v>
      </c>
      <c r="G168" s="144">
        <v>19634856</v>
      </c>
      <c r="H168" s="144">
        <f aca="true" t="shared" si="3" ref="H168:H173">SUM(F168-G168)</f>
        <v>13120</v>
      </c>
      <c r="I168" s="85">
        <v>0</v>
      </c>
    </row>
    <row r="169" spans="1:9" s="78" customFormat="1" ht="14.25" customHeight="1">
      <c r="A169" s="312" t="s">
        <v>952</v>
      </c>
      <c r="B169" s="311" t="s">
        <v>938</v>
      </c>
      <c r="C169" s="316">
        <v>4</v>
      </c>
      <c r="D169" s="313" t="s">
        <v>955</v>
      </c>
      <c r="E169" s="320">
        <v>41228</v>
      </c>
      <c r="F169" s="144">
        <v>18112742</v>
      </c>
      <c r="G169" s="144">
        <v>18112542</v>
      </c>
      <c r="H169" s="144">
        <f t="shared" si="3"/>
        <v>200</v>
      </c>
      <c r="I169" s="85">
        <v>0</v>
      </c>
    </row>
    <row r="170" spans="1:9" s="78" customFormat="1" ht="14.25" customHeight="1">
      <c r="A170" s="312" t="s">
        <v>959</v>
      </c>
      <c r="B170" s="311" t="s">
        <v>944</v>
      </c>
      <c r="C170" s="334" t="s">
        <v>1025</v>
      </c>
      <c r="D170" s="313" t="s">
        <v>960</v>
      </c>
      <c r="E170" s="404">
        <v>41320</v>
      </c>
      <c r="F170" s="408">
        <v>19498396</v>
      </c>
      <c r="G170" s="144">
        <v>19493796</v>
      </c>
      <c r="H170" s="144">
        <f t="shared" si="3"/>
        <v>4600</v>
      </c>
      <c r="I170" s="85">
        <v>100000</v>
      </c>
    </row>
    <row r="171" spans="1:9" s="78" customFormat="1" ht="14.25" customHeight="1">
      <c r="A171" s="312" t="s">
        <v>641</v>
      </c>
      <c r="B171" s="311" t="s">
        <v>505</v>
      </c>
      <c r="C171" s="334" t="s">
        <v>1171</v>
      </c>
      <c r="D171" s="313" t="s">
        <v>855</v>
      </c>
      <c r="E171" s="320">
        <v>41409</v>
      </c>
      <c r="F171" s="144">
        <v>18253553</v>
      </c>
      <c r="G171" s="144">
        <v>18247153</v>
      </c>
      <c r="H171" s="144">
        <f t="shared" si="3"/>
        <v>6400</v>
      </c>
      <c r="I171" s="85">
        <v>0</v>
      </c>
    </row>
    <row r="172" spans="1:9" s="78" customFormat="1" ht="14.25" customHeight="1">
      <c r="A172" s="312" t="s">
        <v>1003</v>
      </c>
      <c r="B172" s="311" t="s">
        <v>525</v>
      </c>
      <c r="C172" s="334" t="s">
        <v>534</v>
      </c>
      <c r="D172" s="313" t="s">
        <v>1007</v>
      </c>
      <c r="E172" s="320">
        <v>41501</v>
      </c>
      <c r="F172" s="144">
        <v>33521123</v>
      </c>
      <c r="G172" s="144">
        <v>33497923</v>
      </c>
      <c r="H172" s="144">
        <f t="shared" si="3"/>
        <v>23200</v>
      </c>
      <c r="I172" s="85">
        <v>0</v>
      </c>
    </row>
    <row r="173" spans="1:9" s="78" customFormat="1" ht="14.25" customHeight="1">
      <c r="A173" s="312" t="s">
        <v>281</v>
      </c>
      <c r="B173" s="311" t="s">
        <v>938</v>
      </c>
      <c r="C173" s="334" t="s">
        <v>534</v>
      </c>
      <c r="D173" s="313" t="s">
        <v>288</v>
      </c>
      <c r="E173" s="320">
        <v>41593</v>
      </c>
      <c r="F173" s="144">
        <v>30636844</v>
      </c>
      <c r="G173" s="144">
        <v>30636844</v>
      </c>
      <c r="H173" s="144">
        <f t="shared" si="3"/>
        <v>0</v>
      </c>
      <c r="I173" s="85">
        <v>0</v>
      </c>
    </row>
    <row r="174" spans="1:9" s="78" customFormat="1" ht="14.25" customHeight="1">
      <c r="A174" s="283"/>
      <c r="B174" s="311"/>
      <c r="C174" s="316"/>
      <c r="D174" s="317"/>
      <c r="E174" s="326"/>
      <c r="F174" s="392"/>
      <c r="G174" s="144"/>
      <c r="H174" s="144"/>
      <c r="I174" s="85"/>
    </row>
    <row r="175" spans="1:9" s="78" customFormat="1" ht="14.25" customHeight="1">
      <c r="A175" s="289" t="s">
        <v>292</v>
      </c>
      <c r="B175" s="311"/>
      <c r="C175" s="316"/>
      <c r="D175" s="313" t="s">
        <v>13</v>
      </c>
      <c r="E175" s="326"/>
      <c r="F175" s="144">
        <f>SUM(F98:F174)</f>
        <v>1890952657</v>
      </c>
      <c r="G175" s="144">
        <f>SUM(G98:G174)</f>
        <v>1874172112</v>
      </c>
      <c r="H175" s="144">
        <f>SUM(H98:H174)</f>
        <v>16780545</v>
      </c>
      <c r="I175" s="85">
        <f>SUM(I98:I174)</f>
        <v>857086</v>
      </c>
    </row>
    <row r="176" spans="1:9" s="78" customFormat="1" ht="15.75" customHeight="1">
      <c r="A176" s="289"/>
      <c r="B176" s="311"/>
      <c r="C176" s="316"/>
      <c r="D176" s="82"/>
      <c r="E176" s="335"/>
      <c r="F176" s="144"/>
      <c r="G176" s="144"/>
      <c r="H176" s="144"/>
      <c r="I176" s="85"/>
    </row>
    <row r="177" spans="1:10" s="78" customFormat="1" ht="16.5" customHeight="1" thickBot="1">
      <c r="A177" s="336" t="s">
        <v>1094</v>
      </c>
      <c r="B177" s="337"/>
      <c r="C177" s="337"/>
      <c r="D177" s="337"/>
      <c r="E177" s="337"/>
      <c r="F177" s="146">
        <f>SUM(+F64+F175+F78+F86)</f>
        <v>2578568532.34699</v>
      </c>
      <c r="G177" s="146">
        <f>SUM(+G64+G175+G78+G86)</f>
        <v>2402044104.9969897</v>
      </c>
      <c r="H177" s="146">
        <f>SUM(+H64+H175+H78+H86)</f>
        <v>176524427.35</v>
      </c>
      <c r="I177" s="146">
        <f>SUM(+I64+I175+I78+I86)</f>
        <v>12462630</v>
      </c>
      <c r="J177" s="338"/>
    </row>
    <row r="178" spans="1:10" s="78" customFormat="1" ht="16.5" customHeight="1" thickTop="1">
      <c r="A178" s="339"/>
      <c r="B178" s="183"/>
      <c r="C178" s="183"/>
      <c r="D178" s="183"/>
      <c r="E178" s="183"/>
      <c r="F178" s="183"/>
      <c r="G178" s="183"/>
      <c r="H178" s="183"/>
      <c r="I178" s="183"/>
      <c r="J178" s="295"/>
    </row>
    <row r="179" spans="1:10" s="78" customFormat="1" ht="16.5" customHeight="1">
      <c r="A179" s="339"/>
      <c r="B179" s="183"/>
      <c r="C179" s="183"/>
      <c r="D179" s="183"/>
      <c r="E179" s="183"/>
      <c r="F179" s="183"/>
      <c r="G179" s="183"/>
      <c r="H179" s="183"/>
      <c r="I179" s="183"/>
      <c r="J179" s="295"/>
    </row>
    <row r="180" spans="1:16" s="78" customFormat="1" ht="15.75" customHeight="1" thickBot="1">
      <c r="A180" s="110"/>
      <c r="B180" s="110"/>
      <c r="C180" s="110"/>
      <c r="D180" s="110"/>
      <c r="E180" s="110"/>
      <c r="F180" s="340"/>
      <c r="G180" s="341"/>
      <c r="H180" s="341"/>
      <c r="I180" s="342"/>
      <c r="J180" s="343"/>
      <c r="K180" s="179"/>
      <c r="L180" s="234"/>
      <c r="M180" s="179"/>
      <c r="N180" s="234"/>
      <c r="O180" s="179"/>
      <c r="P180" s="179"/>
    </row>
    <row r="181" spans="1:10" s="78" customFormat="1" ht="16.5" customHeight="1" thickTop="1">
      <c r="A181" s="339"/>
      <c r="B181" s="183"/>
      <c r="C181" s="183"/>
      <c r="D181" s="183"/>
      <c r="E181" s="183"/>
      <c r="F181" s="183"/>
      <c r="G181" s="183"/>
      <c r="H181" s="183"/>
      <c r="I181" s="183"/>
      <c r="J181" s="295"/>
    </row>
    <row r="182" s="78" customFormat="1" ht="14.25" customHeight="1"/>
    <row r="183" s="78" customFormat="1" ht="15"/>
    <row r="184" s="78" customFormat="1" ht="15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</sheetData>
  <mergeCells count="1">
    <mergeCell ref="G10:J10"/>
  </mergeCells>
  <printOptions horizontalCentered="1"/>
  <pageMargins left="0.5" right="0.5" top="0.4" bottom="0.25" header="0" footer="0"/>
  <pageSetup fitToHeight="2" horizontalDpi="300" verticalDpi="300" orientation="portrait" scale="55" r:id="rId1"/>
  <rowBreaks count="1" manualBreakCount="1">
    <brk id="8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9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78" customFormat="1" ht="15.75">
      <c r="A1" s="75">
        <v>12</v>
      </c>
      <c r="B1" s="76" t="s">
        <v>831</v>
      </c>
      <c r="C1" s="76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="78" customFormat="1" ht="15">
      <c r="B2" s="344"/>
    </row>
    <row r="3" spans="1:2" s="78" customFormat="1" ht="16.5" customHeight="1">
      <c r="A3" s="312" t="s">
        <v>1095</v>
      </c>
      <c r="B3" s="142" t="s">
        <v>1019</v>
      </c>
    </row>
    <row r="4" spans="1:3" s="78" customFormat="1" ht="16.5" customHeight="1">
      <c r="A4" s="64">
        <v>1</v>
      </c>
      <c r="B4" s="142" t="s">
        <v>405</v>
      </c>
      <c r="C4" s="292"/>
    </row>
    <row r="5" spans="1:3" s="78" customFormat="1" ht="16.5" customHeight="1">
      <c r="A5" s="64"/>
      <c r="B5" s="142" t="s">
        <v>366</v>
      </c>
      <c r="C5" s="292"/>
    </row>
    <row r="6" spans="1:3" s="78" customFormat="1" ht="16.5" customHeight="1">
      <c r="A6" s="64">
        <v>2</v>
      </c>
      <c r="B6" s="142" t="s">
        <v>1096</v>
      </c>
      <c r="C6" s="292"/>
    </row>
    <row r="7" spans="1:3" s="78" customFormat="1" ht="16.5" customHeight="1">
      <c r="A7" s="64">
        <v>3</v>
      </c>
      <c r="B7" s="142" t="s">
        <v>406</v>
      </c>
      <c r="C7" s="292"/>
    </row>
    <row r="8" spans="1:3" s="78" customFormat="1" ht="16.5" customHeight="1">
      <c r="A8" s="64">
        <v>4</v>
      </c>
      <c r="B8" s="142" t="s">
        <v>412</v>
      </c>
      <c r="C8" s="292"/>
    </row>
    <row r="9" spans="1:3" s="78" customFormat="1" ht="16.5" customHeight="1">
      <c r="A9" s="64">
        <v>5</v>
      </c>
      <c r="B9" s="142" t="s">
        <v>1103</v>
      </c>
      <c r="C9" s="292"/>
    </row>
    <row r="10" spans="1:3" s="78" customFormat="1" ht="16.5" customHeight="1">
      <c r="A10" s="64"/>
      <c r="B10" s="142" t="s">
        <v>562</v>
      </c>
      <c r="C10" s="292"/>
    </row>
    <row r="11" spans="1:3" s="78" customFormat="1" ht="16.5" customHeight="1">
      <c r="A11" s="64"/>
      <c r="B11" s="142" t="s">
        <v>156</v>
      </c>
      <c r="C11" s="292"/>
    </row>
    <row r="12" spans="1:2" s="78" customFormat="1" ht="16.5" customHeight="1">
      <c r="A12" s="64">
        <v>6</v>
      </c>
      <c r="B12" s="142" t="s">
        <v>1104</v>
      </c>
    </row>
    <row r="13" spans="1:2" s="78" customFormat="1" ht="16.5" customHeight="1">
      <c r="A13" s="64">
        <v>7</v>
      </c>
      <c r="B13" s="142" t="s">
        <v>1167</v>
      </c>
    </row>
    <row r="14" spans="1:2" s="78" customFormat="1" ht="16.5" customHeight="1">
      <c r="A14" s="64">
        <v>8</v>
      </c>
      <c r="B14" s="142" t="s">
        <v>1105</v>
      </c>
    </row>
    <row r="15" spans="1:2" s="78" customFormat="1" ht="16.5" customHeight="1">
      <c r="A15" s="64">
        <v>9</v>
      </c>
      <c r="B15" s="142" t="s">
        <v>1106</v>
      </c>
    </row>
    <row r="16" spans="1:2" s="78" customFormat="1" ht="16.5" customHeight="1">
      <c r="A16" s="64">
        <v>10</v>
      </c>
      <c r="B16" s="142" t="s">
        <v>1109</v>
      </c>
    </row>
    <row r="17" spans="1:2" s="78" customFormat="1" ht="16.5" customHeight="1">
      <c r="A17" s="64"/>
      <c r="B17" s="142" t="s">
        <v>1110</v>
      </c>
    </row>
    <row r="18" spans="1:2" s="78" customFormat="1" ht="16.5" customHeight="1">
      <c r="A18" s="64">
        <v>11</v>
      </c>
      <c r="B18" s="142" t="s">
        <v>157</v>
      </c>
    </row>
    <row r="19" spans="1:2" s="78" customFormat="1" ht="16.5" customHeight="1">
      <c r="A19" s="64"/>
      <c r="B19" s="142" t="s">
        <v>158</v>
      </c>
    </row>
    <row r="20" spans="1:2" s="78" customFormat="1" ht="16.5" customHeight="1">
      <c r="A20" s="64"/>
      <c r="B20" s="142" t="s">
        <v>159</v>
      </c>
    </row>
    <row r="21" spans="1:2" s="78" customFormat="1" ht="16.5" customHeight="1">
      <c r="A21" s="64">
        <v>12</v>
      </c>
      <c r="B21" s="142" t="s">
        <v>418</v>
      </c>
    </row>
    <row r="22" spans="1:2" s="78" customFormat="1" ht="16.5" customHeight="1">
      <c r="A22" s="64"/>
      <c r="B22" s="142" t="s">
        <v>422</v>
      </c>
    </row>
    <row r="23" spans="1:2" s="78" customFormat="1" ht="16.5" customHeight="1">
      <c r="A23" s="64">
        <v>13</v>
      </c>
      <c r="B23" s="142" t="s">
        <v>414</v>
      </c>
    </row>
    <row r="24" spans="1:2" s="78" customFormat="1" ht="16.5" customHeight="1">
      <c r="A24" s="64"/>
      <c r="B24" s="142" t="s">
        <v>415</v>
      </c>
    </row>
    <row r="25" spans="1:2" s="78" customFormat="1" ht="16.5" customHeight="1">
      <c r="A25" s="64">
        <v>14</v>
      </c>
      <c r="B25" s="142" t="s">
        <v>416</v>
      </c>
    </row>
    <row r="26" spans="1:2" s="78" customFormat="1" ht="16.5" customHeight="1">
      <c r="A26" s="64"/>
      <c r="B26" s="142" t="s">
        <v>242</v>
      </c>
    </row>
    <row r="27" spans="1:2" s="78" customFormat="1" ht="16.5" customHeight="1">
      <c r="A27" s="64">
        <v>15</v>
      </c>
      <c r="B27" s="142" t="s">
        <v>244</v>
      </c>
    </row>
    <row r="28" spans="1:2" s="78" customFormat="1" ht="16.5" customHeight="1">
      <c r="A28" s="64"/>
      <c r="B28" s="142" t="s">
        <v>245</v>
      </c>
    </row>
    <row r="29" spans="1:2" s="78" customFormat="1" ht="16.5" customHeight="1">
      <c r="A29" s="64">
        <v>16</v>
      </c>
      <c r="B29" s="142" t="s">
        <v>246</v>
      </c>
    </row>
    <row r="30" spans="1:2" s="78" customFormat="1" ht="16.5" customHeight="1">
      <c r="A30" s="64">
        <v>17</v>
      </c>
      <c r="B30" s="142" t="s">
        <v>950</v>
      </c>
    </row>
    <row r="31" spans="1:2" s="78" customFormat="1" ht="16.5" customHeight="1">
      <c r="A31" s="64">
        <v>18</v>
      </c>
      <c r="B31" s="142" t="s">
        <v>294</v>
      </c>
    </row>
    <row r="32" spans="1:2" s="78" customFormat="1" ht="16.5" customHeight="1">
      <c r="A32" s="64"/>
      <c r="B32" s="142" t="s">
        <v>295</v>
      </c>
    </row>
    <row r="33" spans="1:2" s="78" customFormat="1" ht="16.5" customHeight="1">
      <c r="A33" s="64"/>
      <c r="B33" s="142"/>
    </row>
    <row r="34" spans="1:2" s="78" customFormat="1" ht="16.5" customHeight="1">
      <c r="A34" s="142" t="s">
        <v>247</v>
      </c>
      <c r="B34" s="344"/>
    </row>
    <row r="35" s="78" customFormat="1" ht="16.5" customHeight="1">
      <c r="B35" s="142" t="s">
        <v>248</v>
      </c>
    </row>
    <row r="36" s="78" customFormat="1" ht="16.5" customHeight="1">
      <c r="B36" s="142" t="s">
        <v>250</v>
      </c>
    </row>
    <row r="37" s="78" customFormat="1" ht="16.5" customHeight="1">
      <c r="B37" s="142"/>
    </row>
    <row r="38" s="78" customFormat="1" ht="16.5" customHeight="1">
      <c r="B38" s="142"/>
    </row>
    <row r="39" spans="1:7" s="78" customFormat="1" ht="14.25" customHeight="1">
      <c r="A39" s="345" t="s">
        <v>580</v>
      </c>
      <c r="B39" s="346"/>
      <c r="C39" s="124"/>
      <c r="D39" s="124"/>
      <c r="E39" s="124"/>
      <c r="F39" s="124"/>
      <c r="G39" s="124"/>
    </row>
    <row r="40" spans="1:7" s="78" customFormat="1" ht="14.25" customHeight="1">
      <c r="A40" s="345"/>
      <c r="B40" s="347"/>
      <c r="C40" s="290"/>
      <c r="D40" s="290"/>
      <c r="E40" s="290"/>
      <c r="F40" s="290"/>
      <c r="G40" s="290"/>
    </row>
    <row r="41" spans="1:7" s="78" customFormat="1" ht="14.25" customHeight="1">
      <c r="A41" s="148"/>
      <c r="B41" s="149" t="s">
        <v>300</v>
      </c>
      <c r="C41" s="414" t="s">
        <v>808</v>
      </c>
      <c r="D41" s="348" t="s">
        <v>13</v>
      </c>
      <c r="E41" s="150" t="s">
        <v>809</v>
      </c>
      <c r="F41" s="150"/>
      <c r="G41" s="348"/>
    </row>
    <row r="42" spans="1:7" s="78" customFormat="1" ht="14.25" customHeight="1">
      <c r="A42" s="349"/>
      <c r="B42" s="151">
        <v>39374.87</v>
      </c>
      <c r="C42" s="350">
        <v>132529.31</v>
      </c>
      <c r="D42" s="351"/>
      <c r="E42" s="350">
        <v>1277423.4</v>
      </c>
      <c r="F42" s="352"/>
      <c r="G42" s="351"/>
    </row>
    <row r="43" spans="1:2" s="78" customFormat="1" ht="14.25" customHeight="1">
      <c r="A43" s="353"/>
      <c r="B43" s="152" t="s">
        <v>354</v>
      </c>
    </row>
    <row r="44" spans="1:7" s="78" customFormat="1" ht="14.25" customHeight="1">
      <c r="A44" s="353"/>
      <c r="B44" s="354"/>
      <c r="C44" s="353"/>
      <c r="D44" s="353"/>
      <c r="E44" s="353"/>
      <c r="F44" s="77"/>
      <c r="G44" s="353"/>
    </row>
    <row r="45" spans="1:7" s="78" customFormat="1" ht="16.5" customHeight="1">
      <c r="A45" s="353"/>
      <c r="B45" s="354"/>
      <c r="C45" s="353"/>
      <c r="D45" s="353"/>
      <c r="E45" s="353"/>
      <c r="F45" s="77"/>
      <c r="G45" s="353"/>
    </row>
    <row r="46" spans="1:2" s="78" customFormat="1" ht="16.5" customHeight="1">
      <c r="A46" s="142" t="s">
        <v>442</v>
      </c>
      <c r="B46" s="344"/>
    </row>
    <row r="47" spans="1:2" s="78" customFormat="1" ht="16.5" customHeight="1">
      <c r="A47" s="74" t="s">
        <v>924</v>
      </c>
      <c r="B47" s="142" t="s">
        <v>296</v>
      </c>
    </row>
    <row r="48" spans="1:2" s="78" customFormat="1" ht="16.5" customHeight="1">
      <c r="A48" s="74"/>
      <c r="B48" s="142" t="s">
        <v>297</v>
      </c>
    </row>
    <row r="49" spans="1:2" s="78" customFormat="1" ht="16.5" customHeight="1">
      <c r="A49" s="74" t="s">
        <v>263</v>
      </c>
      <c r="B49" s="142" t="s">
        <v>298</v>
      </c>
    </row>
    <row r="50" spans="1:2" s="78" customFormat="1" ht="16.5" customHeight="1">
      <c r="A50" s="74"/>
      <c r="B50" s="142" t="s">
        <v>299</v>
      </c>
    </row>
    <row r="51" spans="1:2" s="78" customFormat="1" ht="16.5" customHeight="1">
      <c r="A51" s="292"/>
      <c r="B51" s="344"/>
    </row>
    <row r="52" s="78" customFormat="1" ht="16.5" customHeight="1">
      <c r="B52" s="344"/>
    </row>
    <row r="53" spans="1:2" s="78" customFormat="1" ht="16.5" customHeight="1">
      <c r="A53" s="142" t="s">
        <v>265</v>
      </c>
      <c r="B53" s="344"/>
    </row>
    <row r="54" spans="1:2" s="78" customFormat="1" ht="16.5" customHeight="1">
      <c r="A54" s="74" t="s">
        <v>266</v>
      </c>
      <c r="B54" s="142" t="s">
        <v>264</v>
      </c>
    </row>
    <row r="55" spans="1:2" s="78" customFormat="1" ht="16.5" customHeight="1">
      <c r="A55" s="74" t="s">
        <v>1180</v>
      </c>
      <c r="B55" s="142" t="s">
        <v>267</v>
      </c>
    </row>
    <row r="56" spans="1:2" s="78" customFormat="1" ht="16.5" customHeight="1">
      <c r="A56" s="74"/>
      <c r="B56" s="142" t="s">
        <v>269</v>
      </c>
    </row>
    <row r="57" spans="1:2" s="78" customFormat="1" ht="16.5" customHeight="1">
      <c r="A57" s="74"/>
      <c r="B57" s="142" t="s">
        <v>270</v>
      </c>
    </row>
    <row r="58" spans="1:2" s="78" customFormat="1" ht="17.25" customHeight="1">
      <c r="A58" s="74"/>
      <c r="B58" s="142" t="s">
        <v>271</v>
      </c>
    </row>
    <row r="59" spans="1:2" s="78" customFormat="1" ht="18">
      <c r="A59" s="74" t="s">
        <v>698</v>
      </c>
      <c r="B59" s="142" t="s">
        <v>697</v>
      </c>
    </row>
    <row r="60" spans="1:2" s="78" customFormat="1" ht="18">
      <c r="A60" s="74" t="s">
        <v>443</v>
      </c>
      <c r="B60" s="142" t="s">
        <v>6</v>
      </c>
    </row>
    <row r="61" spans="1:2" s="78" customFormat="1" ht="15">
      <c r="A61" s="292"/>
      <c r="B61" s="78" t="s">
        <v>7</v>
      </c>
    </row>
    <row r="62" s="78" customFormat="1" ht="15">
      <c r="A62" s="292"/>
    </row>
    <row r="63" s="78" customFormat="1" ht="15">
      <c r="A63" s="292"/>
    </row>
    <row r="64" s="78" customFormat="1" ht="15">
      <c r="A64" s="292"/>
    </row>
    <row r="65" s="78" customFormat="1" ht="15">
      <c r="A65" s="292"/>
    </row>
    <row r="66" spans="1:2" s="78" customFormat="1" ht="15">
      <c r="A66" s="292"/>
      <c r="B66" s="344"/>
    </row>
    <row r="67" spans="1:2" s="78" customFormat="1" ht="15">
      <c r="A67" s="292"/>
      <c r="B67" s="344"/>
    </row>
    <row r="68" spans="1:2" s="78" customFormat="1" ht="15">
      <c r="A68" s="292"/>
      <c r="B68" s="344"/>
    </row>
    <row r="69" spans="1:2" s="78" customFormat="1" ht="15">
      <c r="A69" s="292"/>
      <c r="B69" s="344"/>
    </row>
    <row r="70" spans="1:13" s="78" customFormat="1" ht="15">
      <c r="A70" s="355"/>
      <c r="B70" s="355"/>
      <c r="C70" s="355"/>
      <c r="D70" s="290"/>
      <c r="E70" s="290"/>
      <c r="F70" s="290"/>
      <c r="G70" s="290"/>
      <c r="H70" s="290"/>
      <c r="I70" s="290"/>
      <c r="J70" s="290"/>
      <c r="K70" s="290"/>
      <c r="L70" s="290"/>
      <c r="M70" s="290"/>
    </row>
    <row r="71" spans="1:13" s="78" customFormat="1" ht="15">
      <c r="A71" s="77" t="s">
        <v>8</v>
      </c>
      <c r="B71" s="291"/>
      <c r="C71" s="291"/>
      <c r="D71" s="77"/>
      <c r="E71" s="77"/>
      <c r="F71" s="77"/>
      <c r="G71" s="77"/>
      <c r="H71" s="77"/>
      <c r="I71" s="77"/>
      <c r="J71" s="77"/>
      <c r="K71" s="77"/>
      <c r="L71" s="77"/>
      <c r="M71" s="77"/>
    </row>
    <row r="72" spans="1:13" s="78" customFormat="1" ht="15">
      <c r="A72" s="77" t="s">
        <v>9</v>
      </c>
      <c r="B72" s="291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s="78" customFormat="1" ht="15">
      <c r="A73" s="77" t="s">
        <v>273</v>
      </c>
      <c r="B73" s="291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s="78" customFormat="1" ht="15">
      <c r="A74" s="77"/>
      <c r="B74" s="291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s="78" customFormat="1" ht="15">
      <c r="A75" s="77"/>
      <c r="B75" s="291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="78" customFormat="1" ht="15">
      <c r="B76" s="344"/>
    </row>
    <row r="77" s="78" customFormat="1" ht="15">
      <c r="B77" s="344"/>
    </row>
    <row r="78" s="78" customFormat="1" ht="15">
      <c r="B78" s="344"/>
    </row>
    <row r="79" s="78" customFormat="1" ht="15">
      <c r="B79" s="344"/>
    </row>
    <row r="80" s="78" customFormat="1" ht="15"/>
    <row r="81" s="78" customFormat="1" ht="15"/>
    <row r="82" s="78" customFormat="1" ht="15"/>
    <row r="83" s="78" customFormat="1" ht="15"/>
    <row r="84" s="78" customFormat="1" ht="15"/>
    <row r="85" s="78" customFormat="1" ht="15"/>
    <row r="86" s="78" customFormat="1" ht="15"/>
    <row r="87" s="78" customFormat="1" ht="15"/>
    <row r="88" s="78" customFormat="1" ht="15"/>
    <row r="89" s="78" customFormat="1" ht="15"/>
    <row r="90" s="78" customFormat="1" ht="15"/>
    <row r="91" s="78" customFormat="1" ht="15"/>
    <row r="92" s="78" customFormat="1" ht="15"/>
    <row r="93" s="78" customFormat="1" ht="15"/>
    <row r="94" s="78" customFormat="1" ht="15"/>
    <row r="95" s="78" customFormat="1" ht="15"/>
    <row r="96" s="78" customFormat="1" ht="15"/>
    <row r="97" s="78" customFormat="1" ht="15"/>
    <row r="98" s="78" customFormat="1" ht="15"/>
    <row r="99" s="78" customFormat="1" ht="15"/>
    <row r="100" s="78" customFormat="1" ht="15"/>
    <row r="101" s="78" customFormat="1" ht="15"/>
    <row r="102" s="78" customFormat="1" ht="15"/>
    <row r="103" s="78" customFormat="1" ht="15"/>
    <row r="104" s="78" customFormat="1" ht="15"/>
    <row r="105" s="78" customFormat="1" ht="15"/>
    <row r="106" s="78" customFormat="1" ht="15"/>
    <row r="107" s="78" customFormat="1" ht="15"/>
    <row r="108" s="78" customFormat="1" ht="15"/>
    <row r="109" s="78" customFormat="1" ht="15"/>
    <row r="110" s="78" customFormat="1" ht="15"/>
    <row r="111" s="78" customFormat="1" ht="15"/>
    <row r="112" s="78" customFormat="1" ht="15"/>
    <row r="113" s="78" customFormat="1" ht="15"/>
    <row r="114" s="78" customFormat="1" ht="15"/>
    <row r="115" s="78" customFormat="1" ht="15"/>
    <row r="116" s="78" customFormat="1" ht="15"/>
    <row r="117" s="78" customFormat="1" ht="15"/>
    <row r="118" s="78" customFormat="1" ht="15"/>
    <row r="119" s="78" customFormat="1" ht="15"/>
    <row r="120" s="78" customFormat="1" ht="15"/>
    <row r="121" s="78" customFormat="1" ht="15"/>
    <row r="122" s="78" customFormat="1" ht="15"/>
    <row r="123" s="78" customFormat="1" ht="15"/>
    <row r="124" s="78" customFormat="1" ht="15"/>
    <row r="125" s="78" customFormat="1" ht="15"/>
    <row r="126" s="78" customFormat="1" ht="15"/>
    <row r="127" s="78" customFormat="1" ht="15"/>
    <row r="128" s="78" customFormat="1" ht="15"/>
    <row r="129" s="78" customFormat="1" ht="15"/>
    <row r="130" s="78" customFormat="1" ht="15"/>
    <row r="131" s="78" customFormat="1" ht="15"/>
    <row r="132" s="78" customFormat="1" ht="15"/>
    <row r="133" s="78" customFormat="1" ht="15"/>
    <row r="134" s="78" customFormat="1" ht="15"/>
    <row r="135" s="78" customFormat="1" ht="15"/>
    <row r="136" s="78" customFormat="1" ht="15"/>
    <row r="137" s="78" customFormat="1" ht="15"/>
    <row r="138" s="78" customFormat="1" ht="15"/>
    <row r="139" s="78" customFormat="1" ht="15"/>
    <row r="140" s="78" customFormat="1" ht="15"/>
    <row r="141" s="78" customFormat="1" ht="15"/>
    <row r="142" s="78" customFormat="1" ht="15"/>
    <row r="143" s="78" customFormat="1" ht="15"/>
    <row r="144" s="78" customFormat="1" ht="15"/>
    <row r="145" s="78" customFormat="1" ht="15"/>
    <row r="146" s="78" customFormat="1" ht="15"/>
    <row r="147" s="78" customFormat="1" ht="15"/>
    <row r="148" s="78" customFormat="1" ht="15"/>
    <row r="149" s="78" customFormat="1" ht="15"/>
    <row r="150" s="78" customFormat="1" ht="15"/>
    <row r="151" s="78" customFormat="1" ht="15"/>
    <row r="152" s="78" customFormat="1" ht="15"/>
    <row r="153" s="78" customFormat="1" ht="15"/>
    <row r="154" s="78" customFormat="1" ht="15"/>
    <row r="155" s="78" customFormat="1" ht="15"/>
    <row r="156" s="78" customFormat="1" ht="15"/>
    <row r="157" s="78" customFormat="1" ht="15"/>
    <row r="158" s="78" customFormat="1" ht="15"/>
    <row r="159" s="78" customFormat="1" ht="15"/>
    <row r="160" s="78" customFormat="1" ht="15"/>
    <row r="161" s="78" customFormat="1" ht="15"/>
    <row r="162" s="78" customFormat="1" ht="15"/>
    <row r="163" s="78" customFormat="1" ht="15"/>
    <row r="164" s="78" customFormat="1" ht="15"/>
    <row r="165" s="78" customFormat="1" ht="15"/>
    <row r="166" s="78" customFormat="1" ht="15"/>
    <row r="167" s="78" customFormat="1" ht="15"/>
    <row r="168" s="78" customFormat="1" ht="15"/>
    <row r="169" s="78" customFormat="1" ht="15"/>
    <row r="170" s="78" customFormat="1" ht="15"/>
    <row r="171" s="78" customFormat="1" ht="15"/>
    <row r="172" s="78" customFormat="1" ht="15"/>
    <row r="173" s="78" customFormat="1" ht="15"/>
    <row r="174" s="78" customFormat="1" ht="15"/>
    <row r="175" s="78" customFormat="1" ht="15"/>
    <row r="176" s="78" customFormat="1" ht="15"/>
    <row r="177" s="78" customFormat="1" ht="15"/>
    <row r="178" s="78" customFormat="1" ht="15"/>
    <row r="179" s="78" customFormat="1" ht="15"/>
    <row r="180" s="78" customFormat="1" ht="15"/>
    <row r="181" s="78" customFormat="1" ht="15"/>
    <row r="182" s="78" customFormat="1" ht="15"/>
    <row r="183" s="78" customFormat="1" ht="15"/>
    <row r="184" s="78" customFormat="1" ht="15"/>
    <row r="185" s="78" customFormat="1" ht="15"/>
    <row r="186" s="78" customFormat="1" ht="15"/>
    <row r="187" s="78" customFormat="1" ht="15"/>
    <row r="188" s="78" customFormat="1" ht="15"/>
    <row r="189" s="78" customFormat="1" ht="15"/>
    <row r="190" s="78" customFormat="1" ht="15"/>
    <row r="191" s="78" customFormat="1" ht="15"/>
    <row r="192" s="78" customFormat="1" ht="15"/>
    <row r="193" s="78" customFormat="1" ht="15"/>
    <row r="194" s="78" customFormat="1" ht="15"/>
    <row r="195" s="78" customFormat="1" ht="15"/>
    <row r="196" s="78" customFormat="1" ht="15"/>
    <row r="197" s="78" customFormat="1" ht="15"/>
    <row r="198" s="78" customFormat="1" ht="15"/>
    <row r="199" s="78" customFormat="1" ht="15"/>
    <row r="200" s="78" customFormat="1" ht="15"/>
    <row r="201" s="78" customFormat="1" ht="15"/>
    <row r="202" s="78" customFormat="1" ht="15"/>
    <row r="203" s="78" customFormat="1" ht="15"/>
    <row r="204" s="78" customFormat="1" ht="15"/>
    <row r="205" s="78" customFormat="1" ht="15"/>
    <row r="206" s="78" customFormat="1" ht="15"/>
    <row r="207" s="78" customFormat="1" ht="15"/>
    <row r="208" s="78" customFormat="1" ht="15"/>
    <row r="209" s="78" customFormat="1" ht="15"/>
    <row r="210" s="78" customFormat="1" ht="15"/>
    <row r="211" s="78" customFormat="1" ht="15"/>
    <row r="212" s="78" customFormat="1" ht="15"/>
    <row r="213" s="78" customFormat="1" ht="15"/>
    <row r="214" s="78" customFormat="1" ht="15"/>
    <row r="215" s="78" customFormat="1" ht="15"/>
    <row r="216" s="78" customFormat="1" ht="15"/>
    <row r="217" s="78" customFormat="1" ht="15"/>
    <row r="218" s="78" customFormat="1" ht="15"/>
    <row r="219" s="78" customFormat="1" ht="15"/>
    <row r="220" s="78" customFormat="1" ht="15"/>
    <row r="221" s="78" customFormat="1" ht="15"/>
    <row r="222" s="78" customFormat="1" ht="15"/>
    <row r="223" s="78" customFormat="1" ht="15"/>
    <row r="224" s="78" customFormat="1" ht="15"/>
    <row r="225" s="78" customFormat="1" ht="15"/>
    <row r="226" s="78" customFormat="1" ht="15"/>
    <row r="227" s="78" customFormat="1" ht="15"/>
    <row r="228" s="78" customFormat="1" ht="15"/>
    <row r="229" s="78" customFormat="1" ht="15"/>
    <row r="230" s="78" customFormat="1" ht="15"/>
    <row r="231" s="78" customFormat="1" ht="15"/>
    <row r="232" s="78" customFormat="1" ht="15"/>
    <row r="233" s="78" customFormat="1" ht="15"/>
    <row r="234" s="78" customFormat="1" ht="15"/>
    <row r="235" s="78" customFormat="1" ht="15"/>
    <row r="236" s="78" customFormat="1" ht="15"/>
    <row r="237" s="78" customFormat="1" ht="15"/>
    <row r="238" s="78" customFormat="1" ht="15"/>
    <row r="239" s="78" customFormat="1" ht="15"/>
    <row r="240" s="78" customFormat="1" ht="15"/>
    <row r="241" s="78" customFormat="1" ht="15"/>
    <row r="242" s="78" customFormat="1" ht="15"/>
    <row r="243" s="78" customFormat="1" ht="15"/>
    <row r="244" s="78" customFormat="1" ht="15"/>
    <row r="245" s="78" customFormat="1" ht="15"/>
    <row r="246" s="78" customFormat="1" ht="15"/>
    <row r="247" s="78" customFormat="1" ht="15"/>
    <row r="248" s="78" customFormat="1" ht="15"/>
    <row r="249" s="78" customFormat="1" ht="15"/>
    <row r="250" s="78" customFormat="1" ht="15"/>
    <row r="251" s="78" customFormat="1" ht="15"/>
    <row r="252" s="78" customFormat="1" ht="15"/>
    <row r="253" s="78" customFormat="1" ht="15"/>
    <row r="254" s="78" customFormat="1" ht="15"/>
    <row r="255" s="78" customFormat="1" ht="15"/>
    <row r="256" s="78" customFormat="1" ht="15"/>
    <row r="257" s="78" customFormat="1" ht="15"/>
    <row r="258" s="78" customFormat="1" ht="15"/>
    <row r="259" s="78" customFormat="1" ht="15"/>
    <row r="260" s="78" customFormat="1" ht="15"/>
    <row r="261" s="78" customFormat="1" ht="15"/>
    <row r="262" s="78" customFormat="1" ht="15"/>
    <row r="263" s="78" customFormat="1" ht="15"/>
    <row r="264" s="78" customFormat="1" ht="15"/>
    <row r="265" s="78" customFormat="1" ht="15"/>
    <row r="266" s="78" customFormat="1" ht="15"/>
    <row r="267" s="78" customFormat="1" ht="15"/>
    <row r="268" s="78" customFormat="1" ht="15"/>
    <row r="269" s="78" customFormat="1" ht="15"/>
    <row r="270" s="78" customFormat="1" ht="15"/>
    <row r="271" s="78" customFormat="1" ht="15"/>
    <row r="272" s="78" customFormat="1" ht="15"/>
    <row r="273" s="78" customFormat="1" ht="15"/>
    <row r="274" s="78" customFormat="1" ht="15"/>
    <row r="275" s="78" customFormat="1" ht="15"/>
    <row r="276" s="78" customFormat="1" ht="15"/>
    <row r="277" s="78" customFormat="1" ht="15"/>
    <row r="278" s="78" customFormat="1" ht="15"/>
    <row r="279" s="78" customFormat="1" ht="15"/>
    <row r="280" s="78" customFormat="1" ht="15"/>
    <row r="281" s="78" customFormat="1" ht="15"/>
    <row r="282" s="78" customFormat="1" ht="15"/>
    <row r="283" s="78" customFormat="1" ht="15"/>
    <row r="284" s="78" customFormat="1" ht="15"/>
    <row r="285" s="78" customFormat="1" ht="15"/>
    <row r="286" s="78" customFormat="1" ht="15"/>
    <row r="287" s="78" customFormat="1" ht="15"/>
    <row r="288" s="78" customFormat="1" ht="15"/>
    <row r="289" s="78" customFormat="1" ht="15"/>
    <row r="290" s="78" customFormat="1" ht="15"/>
    <row r="291" s="78" customFormat="1" ht="15"/>
    <row r="292" s="78" customFormat="1" ht="15"/>
    <row r="293" s="78" customFormat="1" ht="15"/>
    <row r="294" s="78" customFormat="1" ht="15"/>
    <row r="295" s="78" customFormat="1" ht="15"/>
    <row r="296" s="78" customFormat="1" ht="15"/>
    <row r="297" s="78" customFormat="1" ht="15"/>
    <row r="298" s="78" customFormat="1" ht="15"/>
    <row r="299" s="78" customFormat="1" ht="15"/>
    <row r="300" s="78" customFormat="1" ht="15"/>
    <row r="301" s="78" customFormat="1" ht="15"/>
    <row r="302" s="78" customFormat="1" ht="15"/>
    <row r="303" s="78" customFormat="1" ht="15"/>
    <row r="304" s="78" customFormat="1" ht="15"/>
    <row r="305" s="78" customFormat="1" ht="15"/>
    <row r="306" s="78" customFormat="1" ht="15"/>
    <row r="307" s="78" customFormat="1" ht="15"/>
    <row r="308" s="78" customFormat="1" ht="15"/>
    <row r="309" s="78" customFormat="1" ht="15"/>
    <row r="310" s="78" customFormat="1" ht="15"/>
    <row r="311" s="78" customFormat="1" ht="15"/>
    <row r="312" s="78" customFormat="1" ht="15"/>
    <row r="313" s="78" customFormat="1" ht="15"/>
    <row r="314" s="78" customFormat="1" ht="15"/>
    <row r="315" s="78" customFormat="1" ht="15"/>
    <row r="316" s="78" customFormat="1" ht="15"/>
    <row r="317" s="78" customFormat="1" ht="15"/>
    <row r="318" s="78" customFormat="1" ht="15"/>
    <row r="319" s="78" customFormat="1" ht="15"/>
    <row r="320" s="78" customFormat="1" ht="15"/>
    <row r="321" s="78" customFormat="1" ht="15"/>
    <row r="322" s="78" customFormat="1" ht="15"/>
    <row r="323" s="78" customFormat="1" ht="15"/>
    <row r="324" s="78" customFormat="1" ht="15"/>
    <row r="325" s="78" customFormat="1" ht="15"/>
    <row r="326" s="78" customFormat="1" ht="15"/>
    <row r="327" s="78" customFormat="1" ht="15"/>
    <row r="328" s="78" customFormat="1" ht="15"/>
    <row r="329" s="78" customFormat="1" ht="15"/>
    <row r="330" s="78" customFormat="1" ht="15"/>
    <row r="331" s="78" customFormat="1" ht="15"/>
    <row r="332" s="78" customFormat="1" ht="15"/>
    <row r="333" s="78" customFormat="1" ht="15"/>
    <row r="334" s="78" customFormat="1" ht="15"/>
    <row r="335" s="78" customFormat="1" ht="15"/>
    <row r="336" s="78" customFormat="1" ht="15"/>
    <row r="337" s="78" customFormat="1" ht="15"/>
    <row r="338" s="78" customFormat="1" ht="15"/>
    <row r="339" s="78" customFormat="1" ht="15"/>
    <row r="340" s="78" customFormat="1" ht="15"/>
    <row r="341" s="78" customFormat="1" ht="15"/>
    <row r="342" s="78" customFormat="1" ht="15"/>
    <row r="343" s="78" customFormat="1" ht="15"/>
    <row r="344" s="78" customFormat="1" ht="15"/>
    <row r="345" s="78" customFormat="1" ht="15"/>
    <row r="346" s="78" customFormat="1" ht="15"/>
    <row r="347" s="78" customFormat="1" ht="15"/>
    <row r="348" s="78" customFormat="1" ht="15"/>
    <row r="349" s="78" customFormat="1" ht="15"/>
    <row r="350" s="78" customFormat="1" ht="15"/>
    <row r="351" s="78" customFormat="1" ht="15"/>
    <row r="352" s="78" customFormat="1" ht="15"/>
    <row r="353" s="78" customFormat="1" ht="15"/>
    <row r="354" s="78" customFormat="1" ht="15"/>
    <row r="355" s="78" customFormat="1" ht="15"/>
    <row r="356" s="78" customFormat="1" ht="15"/>
    <row r="357" s="78" customFormat="1" ht="15"/>
    <row r="358" s="78" customFormat="1" ht="15"/>
    <row r="359" s="78" customFormat="1" ht="15"/>
    <row r="360" s="78" customFormat="1" ht="15"/>
    <row r="361" s="78" customFormat="1" ht="15"/>
    <row r="362" s="78" customFormat="1" ht="15"/>
    <row r="363" s="78" customFormat="1" ht="15"/>
    <row r="364" s="78" customFormat="1" ht="15"/>
    <row r="365" s="78" customFormat="1" ht="15"/>
    <row r="366" s="78" customFormat="1" ht="15"/>
    <row r="367" s="78" customFormat="1" ht="15"/>
    <row r="368" s="78" customFormat="1" ht="15"/>
    <row r="369" s="78" customFormat="1" ht="15"/>
    <row r="370" s="78" customFormat="1" ht="15"/>
    <row r="371" s="78" customFormat="1" ht="15"/>
    <row r="372" s="78" customFormat="1" ht="15"/>
    <row r="373" s="78" customFormat="1" ht="15"/>
    <row r="374" s="78" customFormat="1" ht="15"/>
    <row r="375" s="78" customFormat="1" ht="15"/>
    <row r="376" s="78" customFormat="1" ht="15"/>
    <row r="377" s="78" customFormat="1" ht="15"/>
    <row r="378" s="78" customFormat="1" ht="15"/>
    <row r="379" s="78" customFormat="1" ht="15"/>
    <row r="380" s="78" customFormat="1" ht="15"/>
    <row r="381" s="78" customFormat="1" ht="15"/>
    <row r="382" s="78" customFormat="1" ht="15"/>
    <row r="383" s="78" customFormat="1" ht="15"/>
    <row r="384" s="78" customFormat="1" ht="15"/>
    <row r="385" s="78" customFormat="1" ht="15"/>
    <row r="386" s="78" customFormat="1" ht="15"/>
    <row r="387" s="78" customFormat="1" ht="15"/>
    <row r="388" s="78" customFormat="1" ht="15"/>
    <row r="389" s="78" customFormat="1" ht="15"/>
    <row r="390" s="78" customFormat="1" ht="15"/>
    <row r="391" s="78" customFormat="1" ht="15"/>
    <row r="392" s="78" customFormat="1" ht="15"/>
    <row r="393" s="78" customFormat="1" ht="15"/>
    <row r="394" s="78" customFormat="1" ht="15"/>
    <row r="395" s="78" customFormat="1" ht="15"/>
    <row r="396" s="78" customFormat="1" ht="15"/>
    <row r="397" s="78" customFormat="1" ht="15"/>
    <row r="398" s="78" customFormat="1" ht="15"/>
    <row r="399" s="78" customFormat="1" ht="15"/>
    <row r="400" s="78" customFormat="1" ht="15"/>
    <row r="401" s="78" customFormat="1" ht="15"/>
    <row r="402" s="78" customFormat="1" ht="15"/>
    <row r="403" s="78" customFormat="1" ht="15"/>
    <row r="404" s="78" customFormat="1" ht="15"/>
    <row r="405" s="78" customFormat="1" ht="15"/>
    <row r="406" s="78" customFormat="1" ht="15"/>
    <row r="407" s="78" customFormat="1" ht="15"/>
    <row r="408" s="78" customFormat="1" ht="15"/>
    <row r="409" s="78" customFormat="1" ht="15"/>
    <row r="410" s="78" customFormat="1" ht="15"/>
    <row r="411" s="78" customFormat="1" ht="15"/>
    <row r="412" s="78" customFormat="1" ht="15"/>
    <row r="413" s="78" customFormat="1" ht="15"/>
    <row r="414" s="78" customFormat="1" ht="15"/>
    <row r="415" s="78" customFormat="1" ht="15"/>
    <row r="416" s="78" customFormat="1" ht="15"/>
    <row r="417" s="78" customFormat="1" ht="15"/>
    <row r="418" s="78" customFormat="1" ht="15"/>
    <row r="419" s="78" customFormat="1" ht="15"/>
    <row r="420" s="78" customFormat="1" ht="15"/>
    <row r="421" s="78" customFormat="1" ht="15"/>
    <row r="422" s="78" customFormat="1" ht="15"/>
    <row r="423" s="78" customFormat="1" ht="15"/>
    <row r="424" s="78" customFormat="1" ht="15"/>
    <row r="425" s="78" customFormat="1" ht="15"/>
    <row r="426" s="78" customFormat="1" ht="15"/>
    <row r="427" s="78" customFormat="1" ht="15"/>
    <row r="428" s="78" customFormat="1" ht="15"/>
    <row r="429" s="78" customFormat="1" ht="15"/>
    <row r="430" s="78" customFormat="1" ht="15"/>
    <row r="431" s="78" customFormat="1" ht="15"/>
    <row r="432" s="78" customFormat="1" ht="15"/>
    <row r="433" s="78" customFormat="1" ht="15"/>
    <row r="434" s="78" customFormat="1" ht="15"/>
    <row r="435" s="78" customFormat="1" ht="15"/>
    <row r="436" s="78" customFormat="1" ht="15"/>
    <row r="437" s="78" customFormat="1" ht="15"/>
    <row r="438" s="78" customFormat="1" ht="15"/>
    <row r="439" s="78" customFormat="1" ht="15"/>
    <row r="440" s="78" customFormat="1" ht="15"/>
    <row r="441" s="78" customFormat="1" ht="15"/>
    <row r="442" s="78" customFormat="1" ht="15"/>
    <row r="443" s="78" customFormat="1" ht="15"/>
    <row r="444" s="78" customFormat="1" ht="15"/>
    <row r="445" s="78" customFormat="1" ht="15"/>
    <row r="446" s="78" customFormat="1" ht="15"/>
    <row r="447" s="78" customFormat="1" ht="15"/>
    <row r="448" s="78" customFormat="1" ht="15"/>
    <row r="449" s="78" customFormat="1" ht="15"/>
    <row r="450" s="78" customFormat="1" ht="15"/>
    <row r="451" s="78" customFormat="1" ht="15"/>
    <row r="452" s="78" customFormat="1" ht="15"/>
    <row r="453" s="78" customFormat="1" ht="15"/>
    <row r="454" s="78" customFormat="1" ht="15"/>
    <row r="455" s="78" customFormat="1" ht="15"/>
    <row r="456" s="78" customFormat="1" ht="15"/>
    <row r="457" s="78" customFormat="1" ht="15"/>
    <row r="458" s="78" customFormat="1" ht="15"/>
    <row r="459" s="78" customFormat="1" ht="15"/>
    <row r="460" s="78" customFormat="1" ht="15"/>
    <row r="461" s="78" customFormat="1" ht="15"/>
    <row r="462" s="78" customFormat="1" ht="15"/>
    <row r="463" s="78" customFormat="1" ht="15"/>
    <row r="464" s="78" customFormat="1" ht="15"/>
    <row r="465" s="78" customFormat="1" ht="15"/>
    <row r="466" s="78" customFormat="1" ht="15"/>
    <row r="467" s="78" customFormat="1" ht="15"/>
    <row r="468" s="78" customFormat="1" ht="15"/>
    <row r="469" s="78" customFormat="1" ht="15"/>
    <row r="470" s="78" customFormat="1" ht="15"/>
    <row r="471" s="78" customFormat="1" ht="15"/>
    <row r="472" s="78" customFormat="1" ht="15"/>
    <row r="473" s="78" customFormat="1" ht="15"/>
    <row r="474" s="78" customFormat="1" ht="15"/>
    <row r="475" s="78" customFormat="1" ht="15"/>
    <row r="476" s="78" customFormat="1" ht="15"/>
    <row r="477" s="78" customFormat="1" ht="15"/>
    <row r="478" s="78" customFormat="1" ht="15"/>
    <row r="479" s="78" customFormat="1" ht="15"/>
    <row r="480" s="78" customFormat="1" ht="15"/>
    <row r="481" s="78" customFormat="1" ht="15"/>
    <row r="482" s="78" customFormat="1" ht="15"/>
    <row r="483" s="78" customFormat="1" ht="15"/>
    <row r="484" s="78" customFormat="1" ht="15"/>
    <row r="485" s="78" customFormat="1" ht="15"/>
    <row r="486" s="78" customFormat="1" ht="15"/>
    <row r="487" s="78" customFormat="1" ht="15"/>
    <row r="488" s="78" customFormat="1" ht="15"/>
    <row r="489" s="78" customFormat="1" ht="15"/>
    <row r="490" s="78" customFormat="1" ht="15"/>
    <row r="491" s="78" customFormat="1" ht="15"/>
    <row r="492" s="78" customFormat="1" ht="15"/>
    <row r="493" s="78" customFormat="1" ht="15"/>
    <row r="494" s="78" customFormat="1" ht="15"/>
    <row r="495" s="78" customFormat="1" ht="15"/>
    <row r="496" s="78" customFormat="1" ht="15"/>
    <row r="497" s="78" customFormat="1" ht="15"/>
    <row r="498" s="78" customFormat="1" ht="15"/>
    <row r="499" s="78" customFormat="1" ht="15"/>
    <row r="500" s="78" customFormat="1" ht="15"/>
    <row r="501" s="78" customFormat="1" ht="15"/>
    <row r="502" s="78" customFormat="1" ht="15"/>
    <row r="503" s="78" customFormat="1" ht="15"/>
    <row r="504" s="78" customFormat="1" ht="15"/>
    <row r="505" s="78" customFormat="1" ht="15"/>
    <row r="506" s="78" customFormat="1" ht="15"/>
    <row r="507" s="78" customFormat="1" ht="15"/>
    <row r="508" s="78" customFormat="1" ht="15"/>
    <row r="509" s="78" customFormat="1" ht="15"/>
    <row r="510" s="78" customFormat="1" ht="15"/>
    <row r="511" s="78" customFormat="1" ht="15"/>
    <row r="512" s="78" customFormat="1" ht="15"/>
    <row r="513" s="78" customFormat="1" ht="15"/>
    <row r="514" s="78" customFormat="1" ht="15"/>
    <row r="515" s="78" customFormat="1" ht="15"/>
    <row r="516" s="78" customFormat="1" ht="15"/>
    <row r="517" s="78" customFormat="1" ht="15"/>
    <row r="518" s="78" customFormat="1" ht="15"/>
    <row r="519" s="78" customFormat="1" ht="15"/>
    <row r="520" s="78" customFormat="1" ht="15"/>
    <row r="521" s="78" customFormat="1" ht="15"/>
    <row r="522" s="78" customFormat="1" ht="15"/>
    <row r="523" s="78" customFormat="1" ht="15"/>
    <row r="524" s="78" customFormat="1" ht="15"/>
    <row r="525" s="78" customFormat="1" ht="15"/>
    <row r="526" s="78" customFormat="1" ht="15"/>
    <row r="527" s="78" customFormat="1" ht="15"/>
    <row r="528" s="78" customFormat="1" ht="15"/>
    <row r="529" s="78" customFormat="1" ht="15"/>
    <row r="530" s="78" customFormat="1" ht="15"/>
    <row r="531" s="78" customFormat="1" ht="15"/>
    <row r="532" s="78" customFormat="1" ht="15"/>
    <row r="533" s="78" customFormat="1" ht="15"/>
    <row r="534" s="78" customFormat="1" ht="15"/>
    <row r="535" s="78" customFormat="1" ht="15"/>
    <row r="536" s="78" customFormat="1" ht="15"/>
    <row r="537" s="78" customFormat="1" ht="15"/>
    <row r="538" s="78" customFormat="1" ht="15"/>
    <row r="539" s="78" customFormat="1" ht="15"/>
    <row r="540" s="78" customFormat="1" ht="15"/>
    <row r="541" s="78" customFormat="1" ht="15"/>
    <row r="542" s="78" customFormat="1" ht="15"/>
    <row r="543" s="78" customFormat="1" ht="15"/>
    <row r="544" s="78" customFormat="1" ht="15"/>
    <row r="545" s="78" customFormat="1" ht="15"/>
    <row r="546" s="78" customFormat="1" ht="15"/>
    <row r="547" s="78" customFormat="1" ht="15"/>
    <row r="548" s="78" customFormat="1" ht="15"/>
    <row r="549" s="78" customFormat="1" ht="15"/>
    <row r="550" s="78" customFormat="1" ht="15"/>
    <row r="551" s="78" customFormat="1" ht="15"/>
    <row r="552" s="78" customFormat="1" ht="15"/>
    <row r="553" s="78" customFormat="1" ht="15"/>
    <row r="554" s="78" customFormat="1" ht="15"/>
    <row r="555" s="78" customFormat="1" ht="15"/>
    <row r="556" s="78" customFormat="1" ht="15"/>
    <row r="557" s="78" customFormat="1" ht="15"/>
    <row r="558" s="78" customFormat="1" ht="15"/>
    <row r="559" s="78" customFormat="1" ht="15"/>
    <row r="560" s="78" customFormat="1" ht="15"/>
    <row r="561" s="78" customFormat="1" ht="15"/>
    <row r="562" s="78" customFormat="1" ht="15"/>
    <row r="563" s="78" customFormat="1" ht="15"/>
    <row r="564" s="78" customFormat="1" ht="15"/>
    <row r="565" s="78" customFormat="1" ht="15"/>
    <row r="566" s="78" customFormat="1" ht="15"/>
    <row r="567" s="78" customFormat="1" ht="15"/>
    <row r="568" s="78" customFormat="1" ht="15"/>
    <row r="569" s="78" customFormat="1" ht="15"/>
    <row r="570" s="78" customFormat="1" ht="15"/>
    <row r="571" s="78" customFormat="1" ht="15"/>
    <row r="572" s="78" customFormat="1" ht="15"/>
    <row r="573" s="78" customFormat="1" ht="15"/>
    <row r="574" s="78" customFormat="1" ht="15"/>
    <row r="575" s="78" customFormat="1" ht="15"/>
    <row r="576" s="78" customFormat="1" ht="15"/>
    <row r="577" s="78" customFormat="1" ht="15"/>
    <row r="578" s="78" customFormat="1" ht="15"/>
    <row r="579" s="78" customFormat="1" ht="15"/>
    <row r="580" s="78" customFormat="1" ht="15"/>
    <row r="581" s="78" customFormat="1" ht="15"/>
    <row r="582" s="78" customFormat="1" ht="15"/>
    <row r="583" s="78" customFormat="1" ht="15"/>
    <row r="584" s="78" customFormat="1" ht="15"/>
    <row r="585" s="78" customFormat="1" ht="15"/>
    <row r="586" s="78" customFormat="1" ht="15"/>
    <row r="587" s="78" customFormat="1" ht="15"/>
    <row r="588" s="78" customFormat="1" ht="15"/>
    <row r="589" s="78" customFormat="1" ht="15"/>
    <row r="590" s="78" customFormat="1" ht="15"/>
    <row r="591" s="78" customFormat="1" ht="15"/>
    <row r="592" s="78" customFormat="1" ht="15"/>
    <row r="593" s="78" customFormat="1" ht="15"/>
    <row r="594" s="78" customFormat="1" ht="15"/>
    <row r="595" s="78" customFormat="1" ht="15"/>
    <row r="596" s="78" customFormat="1" ht="15"/>
    <row r="597" s="78" customFormat="1" ht="15"/>
    <row r="598" s="78" customFormat="1" ht="15"/>
    <row r="599" s="78" customFormat="1" ht="15"/>
    <row r="600" s="78" customFormat="1" ht="15"/>
    <row r="601" s="78" customFormat="1" ht="15"/>
    <row r="602" s="78" customFormat="1" ht="15"/>
    <row r="603" s="78" customFormat="1" ht="15"/>
    <row r="604" s="78" customFormat="1" ht="15"/>
    <row r="605" s="78" customFormat="1" ht="15"/>
    <row r="606" s="78" customFormat="1" ht="15"/>
    <row r="607" s="78" customFormat="1" ht="15"/>
    <row r="608" s="78" customFormat="1" ht="15"/>
    <row r="609" s="78" customFormat="1" ht="15"/>
    <row r="610" s="78" customFormat="1" ht="15"/>
    <row r="611" s="78" customFormat="1" ht="15"/>
    <row r="612" s="78" customFormat="1" ht="15"/>
    <row r="613" s="78" customFormat="1" ht="15"/>
    <row r="614" s="78" customFormat="1" ht="15"/>
    <row r="615" s="78" customFormat="1" ht="15"/>
    <row r="616" s="78" customFormat="1" ht="15"/>
    <row r="617" s="78" customFormat="1" ht="15"/>
    <row r="618" s="78" customFormat="1" ht="15"/>
    <row r="619" s="78" customFormat="1" ht="15"/>
    <row r="620" s="78" customFormat="1" ht="15"/>
    <row r="621" s="78" customFormat="1" ht="15"/>
    <row r="622" s="78" customFormat="1" ht="15"/>
    <row r="623" s="78" customFormat="1" ht="15"/>
    <row r="624" s="78" customFormat="1" ht="15"/>
    <row r="625" s="78" customFormat="1" ht="15"/>
    <row r="626" s="78" customFormat="1" ht="15"/>
    <row r="627" s="78" customFormat="1" ht="15"/>
    <row r="628" s="78" customFormat="1" ht="15"/>
    <row r="629" s="78" customFormat="1" ht="15"/>
    <row r="630" s="78" customFormat="1" ht="15"/>
    <row r="631" s="78" customFormat="1" ht="15"/>
    <row r="632" s="78" customFormat="1" ht="15"/>
    <row r="633" s="78" customFormat="1" ht="15"/>
    <row r="634" s="78" customFormat="1" ht="15"/>
    <row r="635" s="78" customFormat="1" ht="15"/>
    <row r="636" s="78" customFormat="1" ht="15"/>
    <row r="637" s="78" customFormat="1" ht="15"/>
    <row r="638" s="78" customFormat="1" ht="15"/>
    <row r="639" s="78" customFormat="1" ht="15"/>
    <row r="640" s="78" customFormat="1" ht="15"/>
    <row r="641" s="78" customFormat="1" ht="15"/>
    <row r="642" s="78" customFormat="1" ht="15"/>
    <row r="643" s="78" customFormat="1" ht="15"/>
    <row r="644" s="78" customFormat="1" ht="15"/>
    <row r="645" s="78" customFormat="1" ht="15"/>
    <row r="646" s="78" customFormat="1" ht="15"/>
    <row r="647" s="78" customFormat="1" ht="15"/>
    <row r="648" s="78" customFormat="1" ht="15"/>
    <row r="649" s="78" customFormat="1" ht="15"/>
    <row r="650" s="78" customFormat="1" ht="15"/>
    <row r="651" s="78" customFormat="1" ht="15"/>
    <row r="652" s="78" customFormat="1" ht="15"/>
    <row r="653" s="78" customFormat="1" ht="15"/>
    <row r="654" s="78" customFormat="1" ht="15"/>
    <row r="655" s="78" customFormat="1" ht="15"/>
    <row r="656" s="78" customFormat="1" ht="15"/>
    <row r="657" s="78" customFormat="1" ht="15"/>
    <row r="658" s="78" customFormat="1" ht="15"/>
    <row r="659" s="78" customFormat="1" ht="15"/>
    <row r="660" s="78" customFormat="1" ht="15"/>
    <row r="661" s="78" customFormat="1" ht="15"/>
    <row r="662" s="78" customFormat="1" ht="15"/>
    <row r="663" s="78" customFormat="1" ht="15"/>
    <row r="664" s="78" customFormat="1" ht="15"/>
    <row r="665" s="78" customFormat="1" ht="15"/>
    <row r="666" s="78" customFormat="1" ht="15"/>
    <row r="667" s="78" customFormat="1" ht="15"/>
    <row r="668" s="78" customFormat="1" ht="15"/>
    <row r="669" s="78" customFormat="1" ht="15"/>
    <row r="670" s="78" customFormat="1" ht="15"/>
    <row r="671" s="78" customFormat="1" ht="15"/>
    <row r="672" s="78" customFormat="1" ht="15"/>
    <row r="673" s="78" customFormat="1" ht="15"/>
    <row r="674" s="78" customFormat="1" ht="15"/>
    <row r="675" s="78" customFormat="1" ht="15"/>
    <row r="676" s="78" customFormat="1" ht="15"/>
    <row r="677" s="78" customFormat="1" ht="15"/>
    <row r="678" s="78" customFormat="1" ht="15"/>
    <row r="679" s="78" customFormat="1" ht="15"/>
    <row r="680" s="78" customFormat="1" ht="15"/>
    <row r="681" s="78" customFormat="1" ht="15"/>
    <row r="682" s="78" customFormat="1" ht="15"/>
    <row r="683" s="78" customFormat="1" ht="15"/>
    <row r="684" s="78" customFormat="1" ht="15"/>
    <row r="685" s="78" customFormat="1" ht="15"/>
    <row r="686" s="78" customFormat="1" ht="15"/>
    <row r="687" s="78" customFormat="1" ht="15"/>
    <row r="688" s="78" customFormat="1" ht="15"/>
    <row r="689" s="78" customFormat="1" ht="15"/>
    <row r="690" s="78" customFormat="1" ht="15"/>
    <row r="691" s="78" customFormat="1" ht="15"/>
    <row r="692" s="78" customFormat="1" ht="15"/>
    <row r="693" s="78" customFormat="1" ht="15"/>
    <row r="694" s="78" customFormat="1" ht="15"/>
    <row r="695" s="78" customFormat="1" ht="15"/>
    <row r="696" s="78" customFormat="1" ht="15"/>
    <row r="697" s="78" customFormat="1" ht="15"/>
    <row r="698" s="78" customFormat="1" ht="15"/>
    <row r="699" s="78" customFormat="1" ht="15"/>
    <row r="700" s="78" customFormat="1" ht="15"/>
    <row r="701" s="78" customFormat="1" ht="15"/>
    <row r="702" s="78" customFormat="1" ht="15"/>
    <row r="703" s="78" customFormat="1" ht="15"/>
    <row r="704" s="78" customFormat="1" ht="15"/>
    <row r="705" s="78" customFormat="1" ht="15"/>
    <row r="706" s="78" customFormat="1" ht="15"/>
    <row r="707" s="78" customFormat="1" ht="15"/>
    <row r="708" s="78" customFormat="1" ht="15"/>
    <row r="709" s="78" customFormat="1" ht="15"/>
    <row r="710" s="78" customFormat="1" ht="15"/>
    <row r="711" s="78" customFormat="1" ht="15"/>
    <row r="712" s="78" customFormat="1" ht="15"/>
    <row r="713" s="78" customFormat="1" ht="15"/>
    <row r="714" s="78" customFormat="1" ht="15"/>
    <row r="715" s="78" customFormat="1" ht="15"/>
    <row r="716" s="78" customFormat="1" ht="15"/>
    <row r="717" s="78" customFormat="1" ht="15"/>
    <row r="718" s="78" customFormat="1" ht="15"/>
    <row r="719" s="78" customFormat="1" ht="15"/>
    <row r="720" s="78" customFormat="1" ht="15"/>
    <row r="721" s="78" customFormat="1" ht="15"/>
    <row r="722" s="78" customFormat="1" ht="15"/>
    <row r="723" s="78" customFormat="1" ht="15"/>
    <row r="724" s="78" customFormat="1" ht="15"/>
    <row r="725" s="78" customFormat="1" ht="15"/>
    <row r="726" s="78" customFormat="1" ht="15"/>
    <row r="727" s="78" customFormat="1" ht="15"/>
    <row r="728" s="78" customFormat="1" ht="15"/>
    <row r="729" s="78" customFormat="1" ht="15"/>
    <row r="730" s="78" customFormat="1" ht="15"/>
    <row r="731" s="78" customFormat="1" ht="15"/>
    <row r="732" s="78" customFormat="1" ht="15"/>
    <row r="733" s="78" customFormat="1" ht="15"/>
    <row r="734" s="78" customFormat="1" ht="15"/>
    <row r="735" s="78" customFormat="1" ht="15"/>
    <row r="736" s="78" customFormat="1" ht="15"/>
    <row r="737" s="78" customFormat="1" ht="15"/>
    <row r="738" s="78" customFormat="1" ht="15"/>
    <row r="739" s="78" customFormat="1" ht="15"/>
    <row r="740" s="78" customFormat="1" ht="15"/>
    <row r="741" s="78" customFormat="1" ht="15"/>
    <row r="742" s="78" customFormat="1" ht="15"/>
  </sheetData>
  <printOptions/>
  <pageMargins left="0.75" right="0.75" top="1" bottom="1" header="0.5" footer="0.5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163"/>
  <sheetViews>
    <sheetView view="pageBreakPreview" zoomScale="75" zoomScaleNormal="72" zoomScaleSheetLayoutView="75" workbookViewId="0" topLeftCell="A1">
      <selection activeCell="A1" sqref="A1"/>
    </sheetView>
  </sheetViews>
  <sheetFormatPr defaultColWidth="8.88671875" defaultRowHeight="15"/>
  <cols>
    <col min="1" max="1" width="65.77734375" style="0" customWidth="1"/>
    <col min="2" max="2" width="9.3359375" style="0" bestFit="1" customWidth="1"/>
    <col min="3" max="5" width="12.5546875" style="0" bestFit="1" customWidth="1"/>
  </cols>
  <sheetData>
    <row r="1" ht="15">
      <c r="A1" t="s">
        <v>27</v>
      </c>
    </row>
    <row r="2" spans="1:5" ht="15">
      <c r="A2" t="s">
        <v>28</v>
      </c>
      <c r="B2" t="s">
        <v>29</v>
      </c>
      <c r="C2">
        <v>445641034.68</v>
      </c>
      <c r="D2">
        <v>2631000</v>
      </c>
      <c r="E2">
        <v>443010034.68</v>
      </c>
    </row>
    <row r="3" spans="1:5" ht="15">
      <c r="A3" t="s">
        <v>30</v>
      </c>
      <c r="B3" t="s">
        <v>31</v>
      </c>
      <c r="C3">
        <v>576782.48</v>
      </c>
      <c r="D3">
        <v>0</v>
      </c>
      <c r="E3">
        <v>576782.48</v>
      </c>
    </row>
    <row r="4" spans="1:5" ht="15">
      <c r="A4" t="s">
        <v>32</v>
      </c>
      <c r="B4" t="s">
        <v>33</v>
      </c>
      <c r="C4">
        <v>16788000</v>
      </c>
      <c r="D4">
        <v>0</v>
      </c>
      <c r="E4">
        <v>16788000</v>
      </c>
    </row>
    <row r="5" spans="1:5" ht="15">
      <c r="A5" t="s">
        <v>34</v>
      </c>
      <c r="B5" t="s">
        <v>35</v>
      </c>
      <c r="C5">
        <v>102579000</v>
      </c>
      <c r="D5">
        <v>27236000</v>
      </c>
      <c r="E5">
        <v>75343000</v>
      </c>
    </row>
    <row r="6" spans="1:5" ht="15">
      <c r="A6" t="s">
        <v>36</v>
      </c>
      <c r="B6" t="s">
        <v>37</v>
      </c>
      <c r="C6">
        <v>145000</v>
      </c>
      <c r="D6">
        <v>0</v>
      </c>
      <c r="E6">
        <v>145000</v>
      </c>
    </row>
    <row r="7" spans="1:5" ht="15">
      <c r="A7" t="s">
        <v>38</v>
      </c>
      <c r="B7" t="s">
        <v>39</v>
      </c>
      <c r="C7">
        <v>69535878.94</v>
      </c>
      <c r="D7">
        <v>0</v>
      </c>
      <c r="E7">
        <v>69535878.94</v>
      </c>
    </row>
    <row r="8" spans="1:5" ht="15">
      <c r="A8" t="s">
        <v>140</v>
      </c>
      <c r="B8" t="s">
        <v>141</v>
      </c>
      <c r="C8">
        <v>475000</v>
      </c>
      <c r="D8">
        <v>0</v>
      </c>
      <c r="E8">
        <v>475000</v>
      </c>
    </row>
    <row r="9" spans="1:5" ht="15">
      <c r="A9" t="s">
        <v>40</v>
      </c>
      <c r="B9" t="s">
        <v>41</v>
      </c>
      <c r="C9">
        <v>34867000</v>
      </c>
      <c r="D9">
        <v>0</v>
      </c>
      <c r="E9">
        <v>34867000</v>
      </c>
    </row>
    <row r="10" spans="1:5" ht="15">
      <c r="A10" t="s">
        <v>42</v>
      </c>
      <c r="B10" t="s">
        <v>43</v>
      </c>
      <c r="C10">
        <v>25770000</v>
      </c>
      <c r="D10">
        <v>1828000</v>
      </c>
      <c r="E10">
        <v>23942000</v>
      </c>
    </row>
    <row r="11" spans="1:5" ht="15">
      <c r="A11" t="s">
        <v>44</v>
      </c>
      <c r="B11" t="s">
        <v>45</v>
      </c>
      <c r="C11">
        <v>252198000</v>
      </c>
      <c r="D11">
        <v>0</v>
      </c>
      <c r="E11">
        <v>252198000</v>
      </c>
    </row>
    <row r="12" spans="1:5" ht="15">
      <c r="A12" t="s">
        <v>46</v>
      </c>
      <c r="B12" t="s">
        <v>47</v>
      </c>
      <c r="C12">
        <v>526776000</v>
      </c>
      <c r="D12">
        <v>0</v>
      </c>
      <c r="E12">
        <v>526776000</v>
      </c>
    </row>
    <row r="13" spans="1:5" ht="15">
      <c r="A13" t="s">
        <v>48</v>
      </c>
      <c r="B13" t="s">
        <v>49</v>
      </c>
      <c r="C13">
        <v>1000000</v>
      </c>
      <c r="D13">
        <v>0</v>
      </c>
      <c r="E13">
        <v>1000000</v>
      </c>
    </row>
    <row r="14" spans="1:5" ht="15">
      <c r="A14" t="s">
        <v>50</v>
      </c>
      <c r="B14" t="s">
        <v>51</v>
      </c>
      <c r="C14">
        <v>897344000</v>
      </c>
      <c r="D14">
        <v>0</v>
      </c>
      <c r="E14">
        <v>897344000</v>
      </c>
    </row>
    <row r="15" spans="1:5" ht="15">
      <c r="A15" t="s">
        <v>52</v>
      </c>
      <c r="B15" t="s">
        <v>53</v>
      </c>
      <c r="C15">
        <v>50685416000</v>
      </c>
      <c r="D15">
        <v>0</v>
      </c>
      <c r="E15">
        <v>50685416000</v>
      </c>
    </row>
    <row r="16" spans="1:5" ht="15">
      <c r="A16" t="s">
        <v>54</v>
      </c>
      <c r="B16" t="s">
        <v>55</v>
      </c>
      <c r="C16">
        <v>22485452.79</v>
      </c>
      <c r="D16">
        <v>0</v>
      </c>
      <c r="E16">
        <v>22485452.79</v>
      </c>
    </row>
    <row r="17" spans="1:5" ht="15">
      <c r="A17" t="s">
        <v>56</v>
      </c>
      <c r="B17" t="s">
        <v>57</v>
      </c>
      <c r="C17">
        <v>4008000</v>
      </c>
      <c r="D17">
        <v>0</v>
      </c>
      <c r="E17">
        <v>4008000</v>
      </c>
    </row>
    <row r="18" spans="1:5" ht="15">
      <c r="A18" t="s">
        <v>58</v>
      </c>
      <c r="B18" t="s">
        <v>59</v>
      </c>
      <c r="C18">
        <v>1592000</v>
      </c>
      <c r="D18">
        <v>0</v>
      </c>
      <c r="E18">
        <v>1592000</v>
      </c>
    </row>
    <row r="19" ht="15">
      <c r="A19" t="s">
        <v>60</v>
      </c>
    </row>
    <row r="20" spans="1:5" ht="15">
      <c r="A20" t="s">
        <v>61</v>
      </c>
      <c r="B20" t="s">
        <v>62</v>
      </c>
      <c r="C20">
        <v>1922130542.26</v>
      </c>
      <c r="D20">
        <v>0</v>
      </c>
      <c r="E20">
        <v>1922130542.26</v>
      </c>
    </row>
    <row r="21" spans="1:5" ht="15">
      <c r="A21" t="s">
        <v>63</v>
      </c>
      <c r="B21" t="s">
        <v>64</v>
      </c>
      <c r="C21">
        <v>15861274000</v>
      </c>
      <c r="D21">
        <v>2923520000</v>
      </c>
      <c r="E21">
        <v>12937754000</v>
      </c>
    </row>
    <row r="22" spans="1:5" ht="15">
      <c r="A22" t="s">
        <v>65</v>
      </c>
      <c r="B22" t="s">
        <v>66</v>
      </c>
      <c r="C22">
        <v>1077000</v>
      </c>
      <c r="D22">
        <v>0</v>
      </c>
      <c r="E22">
        <v>1077000</v>
      </c>
    </row>
    <row r="23" spans="1:5" ht="15">
      <c r="A23" t="s">
        <v>67</v>
      </c>
      <c r="B23" t="s">
        <v>68</v>
      </c>
      <c r="C23">
        <v>1387825000</v>
      </c>
      <c r="D23">
        <v>0</v>
      </c>
      <c r="E23">
        <v>1387825000</v>
      </c>
    </row>
    <row r="24" spans="1:5" ht="15">
      <c r="A24" t="s">
        <v>69</v>
      </c>
      <c r="B24" t="s">
        <v>70</v>
      </c>
      <c r="C24">
        <v>86458602.81</v>
      </c>
      <c r="D24">
        <v>0</v>
      </c>
      <c r="E24">
        <v>86458602.81</v>
      </c>
    </row>
    <row r="25" spans="1:5" ht="15">
      <c r="A25" t="s">
        <v>71</v>
      </c>
      <c r="B25" t="s">
        <v>72</v>
      </c>
      <c r="C25">
        <v>342938000</v>
      </c>
      <c r="D25">
        <v>10000000</v>
      </c>
      <c r="E25">
        <v>332938000</v>
      </c>
    </row>
    <row r="26" spans="1:5" ht="15">
      <c r="A26" t="s">
        <v>73</v>
      </c>
      <c r="B26" t="s">
        <v>74</v>
      </c>
      <c r="C26">
        <v>578867000</v>
      </c>
      <c r="D26">
        <v>0</v>
      </c>
      <c r="E26">
        <v>578867000</v>
      </c>
    </row>
    <row r="27" spans="1:5" ht="15">
      <c r="A27" t="s">
        <v>75</v>
      </c>
      <c r="B27" t="s">
        <v>76</v>
      </c>
      <c r="C27">
        <v>114097000</v>
      </c>
      <c r="D27">
        <v>0</v>
      </c>
      <c r="E27">
        <v>114097000</v>
      </c>
    </row>
    <row r="28" spans="1:5" ht="15">
      <c r="A28" t="s">
        <v>77</v>
      </c>
      <c r="B28" t="s">
        <v>78</v>
      </c>
      <c r="C28">
        <v>32682579550</v>
      </c>
      <c r="D28">
        <v>1518000000</v>
      </c>
      <c r="E28">
        <v>31164579550</v>
      </c>
    </row>
    <row r="29" spans="1:5" ht="15">
      <c r="A29" t="s">
        <v>79</v>
      </c>
      <c r="B29" t="s">
        <v>80</v>
      </c>
      <c r="C29">
        <v>734000</v>
      </c>
      <c r="D29">
        <v>0</v>
      </c>
      <c r="E29">
        <v>734000</v>
      </c>
    </row>
    <row r="30" spans="1:5" ht="15">
      <c r="A30" t="s">
        <v>81</v>
      </c>
      <c r="B30" t="s">
        <v>82</v>
      </c>
      <c r="C30">
        <v>1677000</v>
      </c>
      <c r="D30">
        <v>0</v>
      </c>
      <c r="E30">
        <v>1677000</v>
      </c>
    </row>
    <row r="31" spans="1:5" ht="15">
      <c r="A31" t="s">
        <v>1125</v>
      </c>
      <c r="B31" t="s">
        <v>1126</v>
      </c>
      <c r="C31">
        <v>20000</v>
      </c>
      <c r="D31">
        <v>0</v>
      </c>
      <c r="E31">
        <v>20000</v>
      </c>
    </row>
    <row r="32" spans="1:5" ht="15">
      <c r="A32" t="s">
        <v>1127</v>
      </c>
      <c r="B32" t="s">
        <v>1128</v>
      </c>
      <c r="C32">
        <v>71844000</v>
      </c>
      <c r="D32">
        <v>0</v>
      </c>
      <c r="E32">
        <v>71844000</v>
      </c>
    </row>
    <row r="33" spans="1:5" ht="15">
      <c r="A33" t="s">
        <v>1129</v>
      </c>
      <c r="B33" t="s">
        <v>1130</v>
      </c>
      <c r="C33">
        <v>23772000</v>
      </c>
      <c r="D33">
        <v>0</v>
      </c>
      <c r="E33">
        <v>23772000</v>
      </c>
    </row>
    <row r="34" spans="1:5" ht="15">
      <c r="A34" t="s">
        <v>1131</v>
      </c>
      <c r="B34" t="s">
        <v>1132</v>
      </c>
      <c r="C34">
        <v>2336000</v>
      </c>
      <c r="D34">
        <v>0</v>
      </c>
      <c r="E34">
        <v>2336000</v>
      </c>
    </row>
    <row r="35" spans="1:5" ht="15">
      <c r="A35" t="s">
        <v>1133</v>
      </c>
      <c r="B35" t="s">
        <v>1134</v>
      </c>
      <c r="C35">
        <v>727716494459.53</v>
      </c>
      <c r="D35">
        <v>118841687374.23</v>
      </c>
      <c r="E35">
        <v>608874807085.3</v>
      </c>
    </row>
    <row r="36" spans="1:5" ht="15">
      <c r="A36" t="s">
        <v>1135</v>
      </c>
      <c r="B36" t="s">
        <v>1136</v>
      </c>
      <c r="C36">
        <v>10387000</v>
      </c>
      <c r="D36">
        <v>0</v>
      </c>
      <c r="E36">
        <v>10387000</v>
      </c>
    </row>
    <row r="37" spans="1:5" ht="15">
      <c r="A37" t="s">
        <v>1137</v>
      </c>
      <c r="B37" t="s">
        <v>1138</v>
      </c>
      <c r="C37">
        <v>1295000</v>
      </c>
      <c r="D37">
        <v>0</v>
      </c>
      <c r="E37">
        <v>1295000</v>
      </c>
    </row>
    <row r="38" spans="1:5" ht="15">
      <c r="A38" t="s">
        <v>1139</v>
      </c>
      <c r="B38" t="s">
        <v>1140</v>
      </c>
      <c r="C38">
        <v>8884000</v>
      </c>
      <c r="D38">
        <v>0</v>
      </c>
      <c r="E38">
        <v>8884000</v>
      </c>
    </row>
    <row r="39" spans="1:5" ht="15">
      <c r="A39" t="s">
        <v>1141</v>
      </c>
      <c r="B39" t="s">
        <v>1142</v>
      </c>
      <c r="C39">
        <v>4050000</v>
      </c>
      <c r="D39">
        <v>0</v>
      </c>
      <c r="E39">
        <v>4050000</v>
      </c>
    </row>
    <row r="40" spans="1:5" ht="15">
      <c r="A40" t="s">
        <v>1143</v>
      </c>
      <c r="B40" t="s">
        <v>1144</v>
      </c>
      <c r="C40">
        <v>40868000</v>
      </c>
      <c r="D40">
        <v>0</v>
      </c>
      <c r="E40">
        <v>40868000</v>
      </c>
    </row>
    <row r="41" spans="1:5" ht="15">
      <c r="A41" t="s">
        <v>1145</v>
      </c>
      <c r="B41" t="s">
        <v>1146</v>
      </c>
      <c r="C41">
        <v>9284000</v>
      </c>
      <c r="D41">
        <v>0</v>
      </c>
      <c r="E41">
        <v>9284000</v>
      </c>
    </row>
    <row r="42" spans="1:5" ht="15">
      <c r="A42" t="s">
        <v>1147</v>
      </c>
      <c r="B42" t="s">
        <v>1148</v>
      </c>
      <c r="C42">
        <v>963483274.21</v>
      </c>
      <c r="D42">
        <v>0</v>
      </c>
      <c r="E42">
        <v>963483274.21</v>
      </c>
    </row>
    <row r="43" spans="1:5" ht="15">
      <c r="A43" t="s">
        <v>1149</v>
      </c>
      <c r="B43" t="s">
        <v>1150</v>
      </c>
      <c r="C43">
        <v>33758055353.98</v>
      </c>
      <c r="D43">
        <v>0</v>
      </c>
      <c r="E43">
        <v>33758055353.98</v>
      </c>
    </row>
    <row r="44" spans="1:5" ht="15">
      <c r="A44" t="s">
        <v>1151</v>
      </c>
      <c r="B44" t="s">
        <v>1152</v>
      </c>
      <c r="C44">
        <v>189982161311.85</v>
      </c>
      <c r="D44">
        <v>5000250000</v>
      </c>
      <c r="E44">
        <v>184981911311.85</v>
      </c>
    </row>
    <row r="45" spans="1:5" ht="15">
      <c r="A45" t="s">
        <v>1153</v>
      </c>
      <c r="B45" t="s">
        <v>1154</v>
      </c>
      <c r="C45">
        <v>774000</v>
      </c>
      <c r="D45">
        <v>105000</v>
      </c>
      <c r="E45">
        <v>669000</v>
      </c>
    </row>
    <row r="46" spans="1:5" ht="15">
      <c r="A46" t="s">
        <v>1155</v>
      </c>
      <c r="B46" t="s">
        <v>1156</v>
      </c>
      <c r="C46">
        <v>3037000</v>
      </c>
      <c r="D46">
        <v>0</v>
      </c>
      <c r="E46">
        <v>3037000</v>
      </c>
    </row>
    <row r="47" spans="1:5" ht="15">
      <c r="A47" t="s">
        <v>1157</v>
      </c>
      <c r="B47" t="s">
        <v>1158</v>
      </c>
      <c r="C47">
        <v>2435000</v>
      </c>
      <c r="D47">
        <v>0</v>
      </c>
      <c r="E47">
        <v>2435000</v>
      </c>
    </row>
    <row r="48" spans="1:5" ht="15">
      <c r="A48" t="s">
        <v>1159</v>
      </c>
      <c r="B48" t="s">
        <v>1160</v>
      </c>
      <c r="C48">
        <v>93156000</v>
      </c>
      <c r="D48">
        <v>0</v>
      </c>
      <c r="E48">
        <v>93156000</v>
      </c>
    </row>
    <row r="49" spans="1:5" ht="15">
      <c r="A49" t="s">
        <v>86</v>
      </c>
      <c r="B49" t="s">
        <v>87</v>
      </c>
      <c r="C49">
        <v>1948441000</v>
      </c>
      <c r="D49">
        <v>0</v>
      </c>
      <c r="E49">
        <v>1948441000</v>
      </c>
    </row>
    <row r="50" spans="1:5" ht="15">
      <c r="A50" t="s">
        <v>88</v>
      </c>
      <c r="B50" t="s">
        <v>89</v>
      </c>
      <c r="C50">
        <v>8734000</v>
      </c>
      <c r="D50">
        <v>1200000</v>
      </c>
      <c r="E50">
        <v>7534000</v>
      </c>
    </row>
    <row r="51" spans="1:5" ht="15">
      <c r="A51" t="s">
        <v>90</v>
      </c>
      <c r="B51" t="s">
        <v>91</v>
      </c>
      <c r="C51">
        <v>11366088000</v>
      </c>
      <c r="D51">
        <v>1831962000</v>
      </c>
      <c r="E51">
        <v>9534126000</v>
      </c>
    </row>
    <row r="52" spans="1:5" ht="15">
      <c r="A52" t="s">
        <v>92</v>
      </c>
      <c r="B52" t="s">
        <v>93</v>
      </c>
      <c r="C52">
        <v>27196088000</v>
      </c>
      <c r="D52">
        <v>0</v>
      </c>
      <c r="E52">
        <v>27196088000</v>
      </c>
    </row>
    <row r="53" spans="1:5" ht="15">
      <c r="A53" t="s">
        <v>94</v>
      </c>
      <c r="B53" t="s">
        <v>95</v>
      </c>
      <c r="C53">
        <v>554000</v>
      </c>
      <c r="D53">
        <v>0</v>
      </c>
      <c r="E53">
        <v>554000</v>
      </c>
    </row>
    <row r="54" spans="1:5" ht="15">
      <c r="A54" t="s">
        <v>96</v>
      </c>
      <c r="B54" t="s">
        <v>97</v>
      </c>
      <c r="C54">
        <v>102821000</v>
      </c>
      <c r="D54">
        <v>0</v>
      </c>
      <c r="E54">
        <v>102821000</v>
      </c>
    </row>
    <row r="55" spans="1:5" ht="15">
      <c r="A55" t="s">
        <v>98</v>
      </c>
      <c r="B55" t="s">
        <v>99</v>
      </c>
      <c r="C55">
        <v>932539000</v>
      </c>
      <c r="D55">
        <v>0</v>
      </c>
      <c r="E55">
        <v>932539000</v>
      </c>
    </row>
    <row r="56" spans="1:5" ht="15">
      <c r="A56" t="s">
        <v>100</v>
      </c>
      <c r="B56" t="s">
        <v>101</v>
      </c>
      <c r="C56">
        <v>310000</v>
      </c>
      <c r="D56">
        <v>0</v>
      </c>
      <c r="E56">
        <v>310000</v>
      </c>
    </row>
    <row r="57" spans="1:5" ht="15">
      <c r="A57" t="s">
        <v>102</v>
      </c>
      <c r="B57" t="s">
        <v>103</v>
      </c>
      <c r="C57">
        <v>10537758470.59</v>
      </c>
      <c r="D57">
        <v>0</v>
      </c>
      <c r="E57">
        <v>10537758470.59</v>
      </c>
    </row>
    <row r="58" spans="1:5" ht="15">
      <c r="A58" t="s">
        <v>104</v>
      </c>
      <c r="B58" t="s">
        <v>105</v>
      </c>
      <c r="C58">
        <v>155418000</v>
      </c>
      <c r="D58">
        <v>12669000</v>
      </c>
      <c r="E58">
        <v>142749000</v>
      </c>
    </row>
    <row r="59" spans="1:5" ht="15">
      <c r="A59" t="s">
        <v>106</v>
      </c>
      <c r="B59" t="s">
        <v>107</v>
      </c>
      <c r="C59">
        <v>33142000</v>
      </c>
      <c r="D59">
        <v>0</v>
      </c>
      <c r="E59">
        <v>33142000</v>
      </c>
    </row>
    <row r="60" spans="1:5" ht="15">
      <c r="A60" t="s">
        <v>457</v>
      </c>
      <c r="B60" t="s">
        <v>458</v>
      </c>
      <c r="C60">
        <v>1947865000</v>
      </c>
      <c r="D60">
        <v>0</v>
      </c>
      <c r="E60">
        <v>1947865000</v>
      </c>
    </row>
    <row r="61" spans="1:5" ht="15">
      <c r="A61" t="s">
        <v>459</v>
      </c>
      <c r="B61" t="s">
        <v>460</v>
      </c>
      <c r="C61">
        <v>467661000</v>
      </c>
      <c r="D61">
        <v>6000000</v>
      </c>
      <c r="E61">
        <v>461661000</v>
      </c>
    </row>
    <row r="62" spans="1:5" ht="15">
      <c r="A62" t="s">
        <v>461</v>
      </c>
      <c r="B62" t="s">
        <v>462</v>
      </c>
      <c r="C62">
        <v>203408583000</v>
      </c>
      <c r="D62">
        <v>26557888000</v>
      </c>
      <c r="E62">
        <v>176850695000</v>
      </c>
    </row>
    <row r="63" spans="1:5" ht="15">
      <c r="A63" t="s">
        <v>463</v>
      </c>
      <c r="B63" t="s">
        <v>464</v>
      </c>
      <c r="C63">
        <v>303197651000</v>
      </c>
      <c r="D63">
        <v>44004109000</v>
      </c>
      <c r="E63">
        <v>259193542000</v>
      </c>
    </row>
    <row r="64" spans="1:5" ht="15">
      <c r="A64" t="s">
        <v>465</v>
      </c>
      <c r="B64" t="s">
        <v>466</v>
      </c>
      <c r="C64">
        <v>4391000</v>
      </c>
      <c r="D64">
        <v>0</v>
      </c>
      <c r="E64">
        <v>4391000</v>
      </c>
    </row>
    <row r="65" spans="1:5" ht="15">
      <c r="A65" t="s">
        <v>467</v>
      </c>
      <c r="B65" t="s">
        <v>468</v>
      </c>
      <c r="C65">
        <v>26295721000</v>
      </c>
      <c r="D65">
        <v>0</v>
      </c>
      <c r="E65">
        <v>26295721000</v>
      </c>
    </row>
    <row r="66" spans="1:5" ht="15">
      <c r="A66" t="s">
        <v>469</v>
      </c>
      <c r="B66" t="s">
        <v>470</v>
      </c>
      <c r="C66">
        <v>1510141432000</v>
      </c>
      <c r="D66">
        <v>140502701000</v>
      </c>
      <c r="E66">
        <v>1369638731000</v>
      </c>
    </row>
    <row r="67" spans="1:5" ht="15">
      <c r="A67" t="s">
        <v>471</v>
      </c>
      <c r="B67" t="s">
        <v>472</v>
      </c>
      <c r="C67">
        <v>1665160000</v>
      </c>
      <c r="D67">
        <v>0</v>
      </c>
      <c r="E67">
        <v>1665160000</v>
      </c>
    </row>
    <row r="68" spans="1:5" ht="15">
      <c r="A68" t="s">
        <v>473</v>
      </c>
      <c r="B68" t="s">
        <v>474</v>
      </c>
      <c r="C68">
        <v>48222989000</v>
      </c>
      <c r="D68">
        <v>23297804000</v>
      </c>
      <c r="E68">
        <v>24925185000</v>
      </c>
    </row>
    <row r="69" spans="1:5" ht="15">
      <c r="A69" t="s">
        <v>142</v>
      </c>
      <c r="B69" t="s">
        <v>143</v>
      </c>
      <c r="C69">
        <v>1201000</v>
      </c>
      <c r="D69">
        <v>0</v>
      </c>
      <c r="E69">
        <v>1201000</v>
      </c>
    </row>
    <row r="70" spans="1:5" ht="15">
      <c r="A70" t="s">
        <v>144</v>
      </c>
      <c r="B70" t="s">
        <v>145</v>
      </c>
      <c r="C70">
        <v>1600000</v>
      </c>
      <c r="D70">
        <v>0</v>
      </c>
      <c r="E70">
        <v>1600000</v>
      </c>
    </row>
    <row r="71" spans="1:5" ht="15">
      <c r="A71" t="s">
        <v>475</v>
      </c>
      <c r="B71" t="s">
        <v>476</v>
      </c>
      <c r="C71">
        <v>12673308000</v>
      </c>
      <c r="D71">
        <v>108651000</v>
      </c>
      <c r="E71">
        <v>12564657000</v>
      </c>
    </row>
    <row r="72" spans="1:5" ht="15">
      <c r="A72" t="s">
        <v>477</v>
      </c>
      <c r="B72" t="s">
        <v>478</v>
      </c>
      <c r="C72">
        <v>2952806000</v>
      </c>
      <c r="D72">
        <v>0</v>
      </c>
      <c r="E72">
        <v>2952806000</v>
      </c>
    </row>
    <row r="73" spans="1:5" ht="15">
      <c r="A73" t="s">
        <v>479</v>
      </c>
      <c r="B73" t="s">
        <v>480</v>
      </c>
      <c r="C73">
        <v>61375000</v>
      </c>
      <c r="D73">
        <v>0</v>
      </c>
      <c r="E73">
        <v>61375000</v>
      </c>
    </row>
    <row r="74" spans="1:5" ht="15">
      <c r="A74" t="s">
        <v>481</v>
      </c>
      <c r="B74" t="s">
        <v>482</v>
      </c>
      <c r="C74">
        <v>4595000</v>
      </c>
      <c r="D74">
        <v>0</v>
      </c>
      <c r="E74">
        <v>4595000</v>
      </c>
    </row>
    <row r="75" spans="1:5" ht="15">
      <c r="A75" t="s">
        <v>483</v>
      </c>
      <c r="B75" t="s">
        <v>484</v>
      </c>
      <c r="C75">
        <v>1000</v>
      </c>
      <c r="D75">
        <v>0</v>
      </c>
      <c r="E75">
        <v>1000</v>
      </c>
    </row>
    <row r="76" spans="1:5" ht="15">
      <c r="A76" t="s">
        <v>485</v>
      </c>
      <c r="B76" t="s">
        <v>486</v>
      </c>
      <c r="C76">
        <v>807866.96</v>
      </c>
      <c r="D76">
        <v>0</v>
      </c>
      <c r="E76">
        <v>807866.96</v>
      </c>
    </row>
    <row r="77" spans="1:5" ht="15">
      <c r="A77" t="s">
        <v>111</v>
      </c>
      <c r="B77" t="s">
        <v>112</v>
      </c>
      <c r="C77">
        <v>100000</v>
      </c>
      <c r="D77">
        <v>0</v>
      </c>
      <c r="E77">
        <v>100000</v>
      </c>
    </row>
    <row r="78" spans="1:5" ht="15">
      <c r="A78" t="s">
        <v>113</v>
      </c>
      <c r="B78" t="s">
        <v>114</v>
      </c>
      <c r="C78">
        <v>781000</v>
      </c>
      <c r="D78">
        <v>0</v>
      </c>
      <c r="E78">
        <v>781000</v>
      </c>
    </row>
    <row r="79" spans="1:5" ht="15">
      <c r="A79" t="s">
        <v>115</v>
      </c>
      <c r="B79" t="s">
        <v>116</v>
      </c>
      <c r="C79">
        <v>7327917000</v>
      </c>
      <c r="D79">
        <v>0</v>
      </c>
      <c r="E79">
        <v>7327917000</v>
      </c>
    </row>
    <row r="80" spans="1:5" ht="15">
      <c r="A80" t="s">
        <v>117</v>
      </c>
      <c r="B80" t="s">
        <v>118</v>
      </c>
      <c r="C80">
        <v>2207781000</v>
      </c>
      <c r="D80">
        <v>0</v>
      </c>
      <c r="E80">
        <v>2207781000</v>
      </c>
    </row>
    <row r="81" spans="1:5" ht="15">
      <c r="A81" t="s">
        <v>119</v>
      </c>
      <c r="B81" t="s">
        <v>120</v>
      </c>
      <c r="C81">
        <v>55221000</v>
      </c>
      <c r="D81">
        <v>448000</v>
      </c>
      <c r="E81">
        <v>54773000</v>
      </c>
    </row>
    <row r="82" spans="1:5" ht="15">
      <c r="A82" t="s">
        <v>121</v>
      </c>
      <c r="B82" t="s">
        <v>122</v>
      </c>
      <c r="C82">
        <v>2139556000</v>
      </c>
      <c r="D82">
        <v>0</v>
      </c>
      <c r="E82">
        <v>2139556000</v>
      </c>
    </row>
    <row r="83" spans="1:5" ht="15">
      <c r="A83" t="s">
        <v>123</v>
      </c>
      <c r="B83" t="s">
        <v>124</v>
      </c>
      <c r="C83">
        <v>36043427000</v>
      </c>
      <c r="D83">
        <v>19173445000</v>
      </c>
      <c r="E83">
        <v>16869982000</v>
      </c>
    </row>
    <row r="84" spans="1:5" ht="15">
      <c r="A84" t="s">
        <v>125</v>
      </c>
      <c r="B84" t="s">
        <v>126</v>
      </c>
      <c r="C84">
        <v>371115000</v>
      </c>
      <c r="D84">
        <v>0</v>
      </c>
      <c r="E84">
        <v>371115000</v>
      </c>
    </row>
    <row r="85" spans="1:5" ht="15">
      <c r="A85" t="s">
        <v>734</v>
      </c>
      <c r="B85" t="s">
        <v>735</v>
      </c>
      <c r="C85">
        <v>140000</v>
      </c>
      <c r="D85">
        <v>0</v>
      </c>
      <c r="E85">
        <v>140000</v>
      </c>
    </row>
    <row r="86" spans="1:5" ht="15">
      <c r="A86" t="s">
        <v>736</v>
      </c>
      <c r="B86" t="s">
        <v>737</v>
      </c>
      <c r="C86">
        <v>4427000</v>
      </c>
      <c r="D86">
        <v>150000</v>
      </c>
      <c r="E86">
        <v>4277000</v>
      </c>
    </row>
    <row r="87" spans="1:5" ht="15">
      <c r="A87" t="s">
        <v>738</v>
      </c>
      <c r="B87" t="s">
        <v>739</v>
      </c>
      <c r="C87">
        <v>37274000</v>
      </c>
      <c r="D87">
        <v>0</v>
      </c>
      <c r="E87">
        <v>37274000</v>
      </c>
    </row>
    <row r="88" spans="1:5" ht="15">
      <c r="A88" t="s">
        <v>740</v>
      </c>
      <c r="B88" t="s">
        <v>741</v>
      </c>
      <c r="C88">
        <v>38956000</v>
      </c>
      <c r="D88">
        <v>176000</v>
      </c>
      <c r="E88">
        <v>38780000</v>
      </c>
    </row>
    <row r="89" spans="1:5" ht="15">
      <c r="A89" t="s">
        <v>742</v>
      </c>
      <c r="B89" t="s">
        <v>743</v>
      </c>
      <c r="C89">
        <v>10408000</v>
      </c>
      <c r="D89">
        <v>506000</v>
      </c>
      <c r="E89">
        <v>9902000</v>
      </c>
    </row>
    <row r="90" spans="1:5" ht="15">
      <c r="A90" t="s">
        <v>744</v>
      </c>
      <c r="B90" t="s">
        <v>745</v>
      </c>
      <c r="C90">
        <v>168190000</v>
      </c>
      <c r="D90">
        <v>0</v>
      </c>
      <c r="E90">
        <v>168190000</v>
      </c>
    </row>
    <row r="91" spans="1:5" ht="15">
      <c r="A91" t="s">
        <v>746</v>
      </c>
      <c r="B91" t="s">
        <v>747</v>
      </c>
      <c r="C91">
        <v>426976000</v>
      </c>
      <c r="D91">
        <v>0</v>
      </c>
      <c r="E91">
        <v>426976000</v>
      </c>
    </row>
    <row r="92" spans="1:5" ht="15">
      <c r="A92" t="s">
        <v>748</v>
      </c>
      <c r="B92" t="s">
        <v>749</v>
      </c>
      <c r="C92">
        <v>6724000</v>
      </c>
      <c r="D92">
        <v>90000</v>
      </c>
      <c r="E92">
        <v>6634000</v>
      </c>
    </row>
    <row r="93" spans="1:5" ht="15">
      <c r="A93" t="s">
        <v>750</v>
      </c>
      <c r="B93" t="s">
        <v>751</v>
      </c>
      <c r="C93">
        <v>4093000</v>
      </c>
      <c r="D93">
        <v>0</v>
      </c>
      <c r="E93">
        <v>4093000</v>
      </c>
    </row>
    <row r="94" spans="1:5" ht="15">
      <c r="A94" t="s">
        <v>752</v>
      </c>
      <c r="B94" t="s">
        <v>753</v>
      </c>
      <c r="C94">
        <v>2131049000</v>
      </c>
      <c r="D94">
        <v>0</v>
      </c>
      <c r="E94">
        <v>2131049000</v>
      </c>
    </row>
    <row r="95" spans="1:5" ht="15">
      <c r="A95" t="s">
        <v>754</v>
      </c>
      <c r="B95" t="s">
        <v>755</v>
      </c>
      <c r="C95">
        <v>9840000</v>
      </c>
      <c r="D95">
        <v>0</v>
      </c>
      <c r="E95">
        <v>9840000</v>
      </c>
    </row>
    <row r="96" spans="1:5" ht="15">
      <c r="A96" t="s">
        <v>756</v>
      </c>
      <c r="B96" t="s">
        <v>757</v>
      </c>
      <c r="C96">
        <v>37475000</v>
      </c>
      <c r="D96">
        <v>0</v>
      </c>
      <c r="E96">
        <v>37475000</v>
      </c>
    </row>
    <row r="97" spans="1:5" ht="15">
      <c r="A97" t="s">
        <v>758</v>
      </c>
      <c r="B97" t="s">
        <v>759</v>
      </c>
      <c r="C97">
        <v>127000</v>
      </c>
      <c r="D97">
        <v>0</v>
      </c>
      <c r="E97">
        <v>127000</v>
      </c>
    </row>
    <row r="98" spans="1:5" ht="15">
      <c r="A98" t="s">
        <v>760</v>
      </c>
      <c r="B98" t="s">
        <v>761</v>
      </c>
      <c r="C98">
        <v>8382000</v>
      </c>
      <c r="D98">
        <v>0</v>
      </c>
      <c r="E98">
        <v>8382000</v>
      </c>
    </row>
    <row r="99" spans="1:5" ht="15">
      <c r="A99" t="s">
        <v>762</v>
      </c>
      <c r="B99" t="s">
        <v>763</v>
      </c>
      <c r="C99">
        <v>13217000</v>
      </c>
      <c r="D99">
        <v>0</v>
      </c>
      <c r="E99">
        <v>13217000</v>
      </c>
    </row>
    <row r="100" spans="1:5" ht="15">
      <c r="A100" t="s">
        <v>764</v>
      </c>
      <c r="B100" t="s">
        <v>765</v>
      </c>
      <c r="C100">
        <v>26257000</v>
      </c>
      <c r="D100">
        <v>0</v>
      </c>
      <c r="E100">
        <v>26257000</v>
      </c>
    </row>
    <row r="101" spans="1:5" ht="15">
      <c r="A101" t="s">
        <v>766</v>
      </c>
      <c r="B101" t="s">
        <v>767</v>
      </c>
      <c r="C101">
        <v>12227000</v>
      </c>
      <c r="D101">
        <v>921000</v>
      </c>
      <c r="E101">
        <v>11306000</v>
      </c>
    </row>
    <row r="102" spans="1:5" ht="15">
      <c r="A102" t="s">
        <v>768</v>
      </c>
      <c r="B102" t="s">
        <v>769</v>
      </c>
      <c r="C102">
        <v>5757461000</v>
      </c>
      <c r="D102">
        <v>0</v>
      </c>
      <c r="E102">
        <v>5757461000</v>
      </c>
    </row>
    <row r="103" spans="1:5" ht="15">
      <c r="A103" t="s">
        <v>770</v>
      </c>
      <c r="B103" t="s">
        <v>771</v>
      </c>
      <c r="C103">
        <v>465616866.24</v>
      </c>
      <c r="D103">
        <v>0</v>
      </c>
      <c r="E103">
        <v>465616866.24</v>
      </c>
    </row>
    <row r="104" spans="1:5" ht="15">
      <c r="A104" t="s">
        <v>772</v>
      </c>
      <c r="B104" t="s">
        <v>773</v>
      </c>
      <c r="C104">
        <v>6353000</v>
      </c>
      <c r="D104">
        <v>0</v>
      </c>
      <c r="E104">
        <v>6353000</v>
      </c>
    </row>
    <row r="105" spans="1:5" ht="15">
      <c r="A105" t="s">
        <v>774</v>
      </c>
      <c r="B105" t="s">
        <v>775</v>
      </c>
      <c r="C105">
        <v>3371000</v>
      </c>
      <c r="D105">
        <v>0</v>
      </c>
      <c r="E105">
        <v>3371000</v>
      </c>
    </row>
    <row r="106" spans="1:5" ht="15">
      <c r="A106" t="s">
        <v>776</v>
      </c>
      <c r="B106" t="s">
        <v>777</v>
      </c>
      <c r="C106">
        <v>19014000</v>
      </c>
      <c r="D106">
        <v>0</v>
      </c>
      <c r="E106">
        <v>19014000</v>
      </c>
    </row>
    <row r="107" spans="1:5" ht="15">
      <c r="A107" t="s">
        <v>778</v>
      </c>
      <c r="B107" t="s">
        <v>779</v>
      </c>
      <c r="C107">
        <v>23045000</v>
      </c>
      <c r="D107">
        <v>252000</v>
      </c>
      <c r="E107">
        <v>22793000</v>
      </c>
    </row>
    <row r="108" spans="1:5" ht="15">
      <c r="A108" t="s">
        <v>780</v>
      </c>
      <c r="B108" t="s">
        <v>781</v>
      </c>
      <c r="C108">
        <v>20941004000</v>
      </c>
      <c r="D108">
        <v>9639629000</v>
      </c>
      <c r="E108">
        <v>11301375000</v>
      </c>
    </row>
    <row r="109" spans="1:5" ht="15">
      <c r="A109" t="s">
        <v>732</v>
      </c>
      <c r="B109" t="s">
        <v>733</v>
      </c>
      <c r="C109">
        <v>221114000</v>
      </c>
      <c r="D109">
        <v>0</v>
      </c>
      <c r="E109">
        <v>221114000</v>
      </c>
    </row>
    <row r="110" spans="1:5" ht="15">
      <c r="A110" t="s">
        <v>301</v>
      </c>
      <c r="B110" t="s">
        <v>302</v>
      </c>
      <c r="C110">
        <v>41423000</v>
      </c>
      <c r="D110">
        <v>0</v>
      </c>
      <c r="E110">
        <v>41423000</v>
      </c>
    </row>
    <row r="111" spans="1:5" ht="15">
      <c r="A111" t="s">
        <v>303</v>
      </c>
      <c r="B111" t="s">
        <v>304</v>
      </c>
      <c r="C111">
        <v>153874000</v>
      </c>
      <c r="D111">
        <v>0</v>
      </c>
      <c r="E111">
        <v>153874000</v>
      </c>
    </row>
    <row r="112" spans="1:5" ht="15">
      <c r="A112" t="s">
        <v>305</v>
      </c>
      <c r="B112" t="s">
        <v>306</v>
      </c>
      <c r="C112">
        <v>30116370000</v>
      </c>
      <c r="D112">
        <v>3328661000</v>
      </c>
      <c r="E112">
        <v>26787709000</v>
      </c>
    </row>
    <row r="113" spans="1:5" ht="15">
      <c r="A113" t="s">
        <v>307</v>
      </c>
      <c r="B113" t="s">
        <v>308</v>
      </c>
      <c r="C113">
        <v>926062000</v>
      </c>
      <c r="D113">
        <v>346000</v>
      </c>
      <c r="E113">
        <v>925716000</v>
      </c>
    </row>
    <row r="114" spans="1:5" ht="15">
      <c r="A114" t="s">
        <v>309</v>
      </c>
      <c r="B114" t="s">
        <v>310</v>
      </c>
      <c r="C114">
        <v>67000</v>
      </c>
      <c r="D114">
        <v>0</v>
      </c>
      <c r="E114">
        <v>67000</v>
      </c>
    </row>
    <row r="115" spans="1:5" ht="15">
      <c r="A115" t="s">
        <v>311</v>
      </c>
      <c r="B115" t="s">
        <v>312</v>
      </c>
      <c r="C115">
        <v>23223000</v>
      </c>
      <c r="D115">
        <v>0</v>
      </c>
      <c r="E115">
        <v>23223000</v>
      </c>
    </row>
    <row r="116" spans="1:5" ht="15">
      <c r="A116" t="s">
        <v>313</v>
      </c>
      <c r="B116" t="s">
        <v>314</v>
      </c>
      <c r="C116">
        <v>6100000</v>
      </c>
      <c r="D116">
        <v>0</v>
      </c>
      <c r="E116">
        <v>6100000</v>
      </c>
    </row>
    <row r="117" spans="1:5" ht="15">
      <c r="A117" t="s">
        <v>315</v>
      </c>
      <c r="B117" t="s">
        <v>316</v>
      </c>
      <c r="C117">
        <v>3680645000</v>
      </c>
      <c r="D117">
        <v>74717000</v>
      </c>
      <c r="E117">
        <v>3605928000</v>
      </c>
    </row>
    <row r="118" spans="1:5" ht="15">
      <c r="A118" t="s">
        <v>317</v>
      </c>
      <c r="B118" t="s">
        <v>318</v>
      </c>
      <c r="C118">
        <v>73145000</v>
      </c>
      <c r="D118">
        <v>0</v>
      </c>
      <c r="E118">
        <v>73145000</v>
      </c>
    </row>
    <row r="119" spans="1:5" ht="15">
      <c r="A119" t="s">
        <v>319</v>
      </c>
      <c r="B119" t="s">
        <v>320</v>
      </c>
      <c r="C119">
        <v>1780000</v>
      </c>
      <c r="D119">
        <v>0</v>
      </c>
      <c r="E119">
        <v>1780000</v>
      </c>
    </row>
    <row r="120" spans="1:5" ht="15">
      <c r="A120" t="s">
        <v>321</v>
      </c>
      <c r="B120" t="s">
        <v>322</v>
      </c>
      <c r="C120">
        <v>351000</v>
      </c>
      <c r="D120">
        <v>0</v>
      </c>
      <c r="E120">
        <v>351000</v>
      </c>
    </row>
    <row r="121" spans="1:5" ht="15">
      <c r="A121" t="s">
        <v>323</v>
      </c>
      <c r="B121" t="s">
        <v>324</v>
      </c>
      <c r="C121">
        <v>715229000</v>
      </c>
      <c r="D121">
        <v>142000</v>
      </c>
      <c r="E121">
        <v>715087000</v>
      </c>
    </row>
    <row r="122" spans="1:5" ht="15">
      <c r="A122" t="s">
        <v>325</v>
      </c>
      <c r="B122" t="s">
        <v>326</v>
      </c>
      <c r="C122">
        <v>19646259476.9</v>
      </c>
      <c r="D122">
        <v>6992402000</v>
      </c>
      <c r="E122">
        <v>12653857476.9</v>
      </c>
    </row>
    <row r="123" spans="1:5" ht="15">
      <c r="A123" t="s">
        <v>327</v>
      </c>
      <c r="B123" t="s">
        <v>328</v>
      </c>
      <c r="C123">
        <v>6350000</v>
      </c>
      <c r="D123">
        <v>0</v>
      </c>
      <c r="E123">
        <v>6350000</v>
      </c>
    </row>
    <row r="124" spans="1:5" ht="15">
      <c r="A124" t="s">
        <v>329</v>
      </c>
      <c r="B124" t="s">
        <v>330</v>
      </c>
      <c r="C124">
        <v>550000000</v>
      </c>
      <c r="D124">
        <v>0</v>
      </c>
      <c r="E124">
        <v>550000000</v>
      </c>
    </row>
    <row r="125" spans="1:5" ht="15">
      <c r="A125" t="s">
        <v>331</v>
      </c>
      <c r="B125" t="s">
        <v>332</v>
      </c>
      <c r="C125">
        <v>42070000</v>
      </c>
      <c r="D125">
        <v>0</v>
      </c>
      <c r="E125">
        <v>42070000</v>
      </c>
    </row>
    <row r="126" spans="1:5" ht="15">
      <c r="A126" t="s">
        <v>333</v>
      </c>
      <c r="B126" t="s">
        <v>334</v>
      </c>
      <c r="C126">
        <v>65000</v>
      </c>
      <c r="D126">
        <v>0</v>
      </c>
      <c r="E126">
        <v>65000</v>
      </c>
    </row>
    <row r="127" spans="1:5" ht="15">
      <c r="A127" t="s">
        <v>335</v>
      </c>
      <c r="B127" t="s">
        <v>336</v>
      </c>
      <c r="C127">
        <v>155900000</v>
      </c>
      <c r="D127">
        <v>0</v>
      </c>
      <c r="E127">
        <v>155900000</v>
      </c>
    </row>
    <row r="128" spans="1:5" ht="15">
      <c r="A128" t="s">
        <v>337</v>
      </c>
      <c r="B128" t="s">
        <v>338</v>
      </c>
      <c r="C128">
        <v>124222310.24</v>
      </c>
      <c r="D128">
        <v>0</v>
      </c>
      <c r="E128">
        <v>124222310.24</v>
      </c>
    </row>
    <row r="129" spans="1:5" ht="15">
      <c r="A129" t="s">
        <v>339</v>
      </c>
      <c r="B129" t="s">
        <v>340</v>
      </c>
      <c r="C129">
        <v>2831000</v>
      </c>
      <c r="D129">
        <v>0</v>
      </c>
      <c r="E129">
        <v>2831000</v>
      </c>
    </row>
    <row r="130" spans="1:5" ht="15">
      <c r="A130" t="s">
        <v>341</v>
      </c>
      <c r="B130" t="s">
        <v>342</v>
      </c>
      <c r="C130">
        <v>1144561000</v>
      </c>
      <c r="D130">
        <v>482648000</v>
      </c>
      <c r="E130">
        <v>661913000</v>
      </c>
    </row>
    <row r="131" spans="1:5" ht="15">
      <c r="A131" t="s">
        <v>343</v>
      </c>
      <c r="B131" t="s">
        <v>344</v>
      </c>
      <c r="C131">
        <v>19268000</v>
      </c>
      <c r="D131">
        <v>0</v>
      </c>
      <c r="E131">
        <v>19268000</v>
      </c>
    </row>
    <row r="132" spans="1:5" ht="15">
      <c r="A132" t="s">
        <v>345</v>
      </c>
      <c r="B132" t="s">
        <v>346</v>
      </c>
      <c r="C132">
        <v>1001000</v>
      </c>
      <c r="D132">
        <v>0</v>
      </c>
      <c r="E132">
        <v>1001000</v>
      </c>
    </row>
    <row r="133" spans="1:5" ht="15">
      <c r="A133" t="s">
        <v>146</v>
      </c>
      <c r="B133" t="s">
        <v>147</v>
      </c>
      <c r="C133">
        <v>17625000</v>
      </c>
      <c r="D133">
        <v>0</v>
      </c>
      <c r="E133">
        <v>17625000</v>
      </c>
    </row>
    <row r="134" spans="1:5" ht="15">
      <c r="A134" t="s">
        <v>487</v>
      </c>
      <c r="B134" t="s">
        <v>488</v>
      </c>
      <c r="C134">
        <v>2513477.62</v>
      </c>
      <c r="D134">
        <v>0</v>
      </c>
      <c r="E134">
        <v>2513477.62</v>
      </c>
    </row>
    <row r="135" spans="1:5" ht="15">
      <c r="A135" t="s">
        <v>347</v>
      </c>
      <c r="B135" t="s">
        <v>348</v>
      </c>
      <c r="C135">
        <v>2060000</v>
      </c>
      <c r="D135">
        <v>0</v>
      </c>
      <c r="E135">
        <v>2060000</v>
      </c>
    </row>
    <row r="136" spans="1:5" ht="15">
      <c r="A136" t="s">
        <v>349</v>
      </c>
      <c r="B136" t="s">
        <v>350</v>
      </c>
      <c r="C136">
        <v>25469000</v>
      </c>
      <c r="D136">
        <v>0</v>
      </c>
      <c r="E136">
        <v>25469000</v>
      </c>
    </row>
    <row r="137" spans="1:5" ht="15">
      <c r="A137" t="s">
        <v>351</v>
      </c>
      <c r="B137" t="s">
        <v>352</v>
      </c>
      <c r="C137">
        <v>19097000</v>
      </c>
      <c r="D137">
        <v>0</v>
      </c>
      <c r="E137">
        <v>19097000</v>
      </c>
    </row>
    <row r="138" spans="1:5" ht="15">
      <c r="A138" t="s">
        <v>1030</v>
      </c>
      <c r="B138" t="s">
        <v>1031</v>
      </c>
      <c r="C138">
        <v>12082469250</v>
      </c>
      <c r="D138">
        <v>660000000</v>
      </c>
      <c r="E138">
        <v>11422469250</v>
      </c>
    </row>
    <row r="139" spans="1:5" ht="15">
      <c r="A139" t="s">
        <v>1032</v>
      </c>
      <c r="B139" t="s">
        <v>1033</v>
      </c>
      <c r="C139">
        <v>13138000</v>
      </c>
      <c r="D139">
        <v>0</v>
      </c>
      <c r="E139">
        <v>13138000</v>
      </c>
    </row>
    <row r="140" spans="1:5" ht="15">
      <c r="A140" t="s">
        <v>1034</v>
      </c>
      <c r="B140" t="s">
        <v>1035</v>
      </c>
      <c r="C140">
        <v>353691000</v>
      </c>
      <c r="D140">
        <v>0</v>
      </c>
      <c r="E140">
        <v>353691000</v>
      </c>
    </row>
    <row r="141" spans="1:5" ht="15">
      <c r="A141" t="s">
        <v>1036</v>
      </c>
      <c r="B141" t="s">
        <v>1037</v>
      </c>
      <c r="C141">
        <v>502000</v>
      </c>
      <c r="D141">
        <v>0</v>
      </c>
      <c r="E141">
        <v>502000</v>
      </c>
    </row>
    <row r="142" spans="1:5" ht="15">
      <c r="A142" t="s">
        <v>1038</v>
      </c>
      <c r="B142" t="s">
        <v>1039</v>
      </c>
      <c r="C142">
        <v>7006000</v>
      </c>
      <c r="D142">
        <v>6564000</v>
      </c>
      <c r="E142">
        <v>442000</v>
      </c>
    </row>
    <row r="143" spans="1:5" ht="15">
      <c r="A143" t="s">
        <v>1040</v>
      </c>
      <c r="B143" t="s">
        <v>1041</v>
      </c>
      <c r="C143">
        <v>1184357000</v>
      </c>
      <c r="D143">
        <v>445904000</v>
      </c>
      <c r="E143">
        <v>738453000</v>
      </c>
    </row>
    <row r="144" spans="1:5" ht="15">
      <c r="A144" t="s">
        <v>1042</v>
      </c>
      <c r="B144" t="s">
        <v>1043</v>
      </c>
      <c r="C144">
        <v>63297000</v>
      </c>
      <c r="D144">
        <v>0</v>
      </c>
      <c r="E144">
        <v>63297000</v>
      </c>
    </row>
    <row r="145" spans="1:5" ht="15">
      <c r="A145" t="s">
        <v>367</v>
      </c>
      <c r="B145" t="s">
        <v>368</v>
      </c>
      <c r="C145">
        <v>523999000</v>
      </c>
      <c r="D145">
        <v>0</v>
      </c>
      <c r="E145">
        <v>523999000</v>
      </c>
    </row>
    <row r="146" spans="1:5" ht="15">
      <c r="A146" t="s">
        <v>369</v>
      </c>
      <c r="B146" t="s">
        <v>370</v>
      </c>
      <c r="C146">
        <v>7580000</v>
      </c>
      <c r="D146">
        <v>0</v>
      </c>
      <c r="E146">
        <v>7580000</v>
      </c>
    </row>
    <row r="147" spans="1:5" ht="15">
      <c r="A147" t="s">
        <v>371</v>
      </c>
      <c r="B147" t="s">
        <v>372</v>
      </c>
      <c r="C147">
        <v>126285000</v>
      </c>
      <c r="D147">
        <v>0</v>
      </c>
      <c r="E147">
        <v>126285000</v>
      </c>
    </row>
    <row r="148" spans="1:5" ht="15">
      <c r="A148" t="s">
        <v>373</v>
      </c>
      <c r="B148" t="s">
        <v>374</v>
      </c>
      <c r="C148">
        <v>45304138.64</v>
      </c>
      <c r="D148">
        <v>0</v>
      </c>
      <c r="E148">
        <v>45304138.64</v>
      </c>
    </row>
    <row r="149" spans="1:5" ht="15">
      <c r="A149" t="s">
        <v>375</v>
      </c>
      <c r="B149" t="s">
        <v>376</v>
      </c>
      <c r="C149">
        <v>37946957.72</v>
      </c>
      <c r="D149">
        <v>0</v>
      </c>
      <c r="E149">
        <v>37946957.72</v>
      </c>
    </row>
    <row r="150" spans="1:5" ht="15">
      <c r="A150" t="s">
        <v>377</v>
      </c>
      <c r="B150" t="s">
        <v>378</v>
      </c>
      <c r="C150">
        <v>64314000</v>
      </c>
      <c r="D150">
        <v>0</v>
      </c>
      <c r="E150">
        <v>64314000</v>
      </c>
    </row>
    <row r="151" spans="1:5" ht="15">
      <c r="A151" t="s">
        <v>379</v>
      </c>
      <c r="B151" t="s">
        <v>380</v>
      </c>
      <c r="C151">
        <v>52921956000</v>
      </c>
      <c r="D151">
        <v>15568748000</v>
      </c>
      <c r="E151">
        <v>37353208000</v>
      </c>
    </row>
    <row r="152" spans="1:5" ht="15">
      <c r="A152" t="s">
        <v>381</v>
      </c>
      <c r="B152" t="s">
        <v>382</v>
      </c>
      <c r="C152">
        <v>1302136000</v>
      </c>
      <c r="D152">
        <v>0</v>
      </c>
      <c r="E152">
        <v>1302136000</v>
      </c>
    </row>
    <row r="153" spans="1:5" ht="15">
      <c r="A153" t="s">
        <v>383</v>
      </c>
      <c r="B153" t="s">
        <v>384</v>
      </c>
      <c r="C153">
        <v>104036000</v>
      </c>
      <c r="D153">
        <v>49391000</v>
      </c>
      <c r="E153">
        <v>54645000</v>
      </c>
    </row>
    <row r="154" spans="1:5" ht="15">
      <c r="A154" t="s">
        <v>385</v>
      </c>
      <c r="B154" t="s">
        <v>386</v>
      </c>
      <c r="C154">
        <v>7114000</v>
      </c>
      <c r="D154">
        <v>0</v>
      </c>
      <c r="E154">
        <v>7114000</v>
      </c>
    </row>
    <row r="155" spans="1:5" ht="15">
      <c r="A155" t="s">
        <v>387</v>
      </c>
      <c r="B155" t="s">
        <v>388</v>
      </c>
      <c r="C155">
        <v>209537885.84</v>
      </c>
      <c r="D155">
        <v>0</v>
      </c>
      <c r="E155">
        <v>209537885.84</v>
      </c>
    </row>
    <row r="156" spans="1:5" ht="15">
      <c r="A156" t="s">
        <v>389</v>
      </c>
      <c r="B156" t="s">
        <v>390</v>
      </c>
      <c r="C156">
        <v>3798225000</v>
      </c>
      <c r="D156">
        <v>4179000</v>
      </c>
      <c r="E156">
        <v>3794046000</v>
      </c>
    </row>
    <row r="157" spans="1:5" ht="15">
      <c r="A157" t="s">
        <v>391</v>
      </c>
      <c r="B157" t="s">
        <v>392</v>
      </c>
      <c r="C157">
        <v>128639000</v>
      </c>
      <c r="D157">
        <v>0</v>
      </c>
      <c r="E157">
        <v>128639000</v>
      </c>
    </row>
    <row r="158" spans="1:5" ht="15">
      <c r="A158" t="s">
        <v>393</v>
      </c>
      <c r="B158" t="s">
        <v>394</v>
      </c>
      <c r="C158">
        <v>1920240000</v>
      </c>
      <c r="D158">
        <v>0</v>
      </c>
      <c r="E158">
        <v>1920240000</v>
      </c>
    </row>
    <row r="159" spans="1:5" ht="15">
      <c r="A159" t="s">
        <v>395</v>
      </c>
      <c r="B159" t="s">
        <v>396</v>
      </c>
      <c r="C159">
        <v>820837000</v>
      </c>
      <c r="D159">
        <v>359508000</v>
      </c>
      <c r="E159">
        <v>461329000</v>
      </c>
    </row>
    <row r="160" spans="1:5" ht="15">
      <c r="A160" t="s">
        <v>397</v>
      </c>
      <c r="B160" t="s">
        <v>398</v>
      </c>
      <c r="C160">
        <v>3056082000</v>
      </c>
      <c r="D160">
        <v>1168393000</v>
      </c>
      <c r="E160">
        <v>1887689000</v>
      </c>
    </row>
    <row r="161" spans="1:5" ht="15">
      <c r="A161" t="s">
        <v>399</v>
      </c>
      <c r="B161" t="s">
        <v>400</v>
      </c>
      <c r="C161">
        <v>248000</v>
      </c>
      <c r="D161">
        <v>0</v>
      </c>
      <c r="E161">
        <v>248000</v>
      </c>
    </row>
    <row r="162" spans="1:5" ht="15">
      <c r="A162" t="s">
        <v>401</v>
      </c>
      <c r="B162" t="s">
        <v>402</v>
      </c>
      <c r="C162">
        <v>784913292.21</v>
      </c>
      <c r="D162">
        <v>0</v>
      </c>
      <c r="E162">
        <v>784913292.21</v>
      </c>
    </row>
    <row r="163" spans="1:5" ht="15">
      <c r="A163" t="s">
        <v>403</v>
      </c>
      <c r="B163" t="s">
        <v>404</v>
      </c>
      <c r="C163">
        <v>36250000</v>
      </c>
      <c r="D163">
        <v>0</v>
      </c>
      <c r="E163">
        <v>36250000</v>
      </c>
    </row>
  </sheetData>
  <printOptions gridLines="1" horizontalCentered="1"/>
  <pageMargins left="0.5" right="0" top="0.6" bottom="0.25" header="0" footer="0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tmagers</cp:lastModifiedBy>
  <cp:lastPrinted>2004-02-03T16:49:16Z</cp:lastPrinted>
  <dcterms:created xsi:type="dcterms:W3CDTF">1998-12-22T15:47:59Z</dcterms:created>
  <dcterms:modified xsi:type="dcterms:W3CDTF">2004-02-04T15:31:19Z</dcterms:modified>
  <cp:category/>
  <cp:version/>
  <cp:contentType/>
  <cp:contentStatus/>
</cp:coreProperties>
</file>